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25 építész tender előkészítés LP\_20250725 - kiadásra előkészített költségvetési kiírások\"/>
    </mc:Choice>
  </mc:AlternateContent>
  <xr:revisionPtr revIDLastSave="0" documentId="13_ncr:1_{B13EE70F-A87F-4BA9-BD09-E469FF6537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rans kültéri műtárgyak" sheetId="1" r:id="rId1"/>
  </sheets>
  <definedNames>
    <definedName name="_xlnm._FilterDatabase" localSheetId="0" hidden="1">'Metrans kültéri műtárgyak'!$C$1:$C$413</definedName>
    <definedName name="_xlnm.Print_Titles" localSheetId="0">'Metrans kültéri műtárgyak'!$1:$1</definedName>
    <definedName name="_xlnm.Print_Area" localSheetId="0">'Metrans kültéri műtárgyak'!$A$1:$J$221</definedName>
  </definedNames>
  <calcPr calcId="181029"/>
</workbook>
</file>

<file path=xl/calcChain.xml><?xml version="1.0" encoding="utf-8"?>
<calcChain xmlns="http://schemas.openxmlformats.org/spreadsheetml/2006/main">
  <c r="I218" i="1" l="1"/>
  <c r="J218" i="1" s="1"/>
  <c r="J51" i="1"/>
  <c r="I51" i="1"/>
  <c r="J219" i="1"/>
  <c r="I219" i="1"/>
  <c r="I216" i="1"/>
  <c r="I217" i="1"/>
  <c r="J217" i="1" s="1"/>
  <c r="E215" i="1"/>
  <c r="E210" i="1"/>
  <c r="E213" i="1"/>
  <c r="E214" i="1" s="1"/>
  <c r="E208" i="1"/>
  <c r="E209" i="1" s="1"/>
  <c r="E203" i="1"/>
  <c r="E201" i="1"/>
  <c r="E185" i="1" l="1"/>
  <c r="E186" i="1" s="1"/>
  <c r="E216" i="1" l="1"/>
  <c r="J216" i="1" s="1"/>
  <c r="I215" i="1"/>
  <c r="J215" i="1" s="1"/>
  <c r="I214" i="1"/>
  <c r="J214" i="1" s="1"/>
  <c r="I213" i="1"/>
  <c r="J213" i="1" s="1"/>
  <c r="J212" i="1"/>
  <c r="I212" i="1"/>
  <c r="J211" i="1"/>
  <c r="I211" i="1"/>
  <c r="I210" i="1"/>
  <c r="I209" i="1"/>
  <c r="J209" i="1" s="1"/>
  <c r="I208" i="1"/>
  <c r="J207" i="1"/>
  <c r="I207" i="1"/>
  <c r="J206" i="1"/>
  <c r="I206" i="1"/>
  <c r="J205" i="1"/>
  <c r="I205" i="1"/>
  <c r="J204" i="1"/>
  <c r="I204" i="1"/>
  <c r="I203" i="1"/>
  <c r="J203" i="1" s="1"/>
  <c r="J210" i="1" l="1"/>
  <c r="J208" i="1"/>
  <c r="J202" i="1" l="1"/>
  <c r="I202" i="1"/>
  <c r="I201" i="1"/>
  <c r="J201" i="1" s="1"/>
  <c r="J221" i="1" l="1"/>
  <c r="J17" i="1" s="1"/>
  <c r="I280" i="1"/>
  <c r="J280" i="1"/>
  <c r="I281" i="1"/>
  <c r="J281" i="1" s="1"/>
  <c r="I282" i="1"/>
  <c r="J282" i="1"/>
  <c r="I283" i="1"/>
  <c r="J283" i="1"/>
  <c r="I284" i="1"/>
  <c r="J284" i="1"/>
  <c r="I289" i="1"/>
  <c r="J289" i="1" s="1"/>
  <c r="I290" i="1"/>
  <c r="J290" i="1"/>
  <c r="I291" i="1"/>
  <c r="J291" i="1"/>
  <c r="I292" i="1"/>
  <c r="J292" i="1" s="1"/>
  <c r="I293" i="1"/>
  <c r="J293" i="1"/>
  <c r="I294" i="1"/>
  <c r="J294" i="1" s="1"/>
  <c r="I295" i="1"/>
  <c r="J295" i="1"/>
  <c r="I296" i="1"/>
  <c r="J296" i="1" s="1"/>
  <c r="I297" i="1"/>
  <c r="J297" i="1"/>
  <c r="I298" i="1"/>
  <c r="J298" i="1" s="1"/>
  <c r="I299" i="1"/>
  <c r="J299" i="1"/>
  <c r="I255" i="1"/>
  <c r="J255" i="1"/>
  <c r="I262" i="1"/>
  <c r="J262" i="1" s="1"/>
  <c r="I263" i="1"/>
  <c r="J263" i="1" s="1"/>
  <c r="I267" i="1"/>
  <c r="J267" i="1" s="1"/>
  <c r="I268" i="1"/>
  <c r="J268" i="1" s="1"/>
  <c r="I269" i="1"/>
  <c r="J269" i="1" s="1"/>
  <c r="I270" i="1"/>
  <c r="J270" i="1"/>
  <c r="I227" i="1"/>
  <c r="J227" i="1"/>
  <c r="I228" i="1"/>
  <c r="J228" i="1" s="1"/>
  <c r="I229" i="1"/>
  <c r="J229" i="1"/>
  <c r="I230" i="1"/>
  <c r="J230" i="1" s="1"/>
  <c r="I231" i="1"/>
  <c r="J231" i="1"/>
  <c r="I232" i="1"/>
  <c r="J232" i="1"/>
  <c r="I233" i="1"/>
  <c r="J233" i="1"/>
  <c r="I234" i="1"/>
  <c r="J234" i="1" s="1"/>
  <c r="I235" i="1"/>
  <c r="J235" i="1" s="1"/>
  <c r="I236" i="1"/>
  <c r="J236" i="1" s="1"/>
  <c r="I237" i="1"/>
  <c r="J237" i="1" s="1"/>
  <c r="I238" i="1"/>
  <c r="J238" i="1"/>
  <c r="I239" i="1"/>
  <c r="J239" i="1"/>
  <c r="I240" i="1"/>
  <c r="J240" i="1" s="1"/>
  <c r="I241" i="1"/>
  <c r="J241" i="1"/>
  <c r="I242" i="1"/>
  <c r="J242" i="1" s="1"/>
  <c r="I243" i="1"/>
  <c r="J243" i="1"/>
  <c r="I244" i="1"/>
  <c r="J244" i="1" s="1"/>
  <c r="I245" i="1"/>
  <c r="J245" i="1"/>
  <c r="E288" i="1"/>
  <c r="I288" i="1" s="1"/>
  <c r="E287" i="1"/>
  <c r="I287" i="1" s="1"/>
  <c r="E286" i="1"/>
  <c r="I286" i="1" s="1"/>
  <c r="E285" i="1"/>
  <c r="I285" i="1" s="1"/>
  <c r="J285" i="1" s="1"/>
  <c r="E279" i="1"/>
  <c r="I279" i="1" s="1"/>
  <c r="J279" i="1" s="1"/>
  <c r="J286" i="1" l="1"/>
  <c r="J288" i="1"/>
  <c r="J287" i="1"/>
  <c r="J254" i="1"/>
  <c r="I254" i="1"/>
  <c r="E256" i="1"/>
  <c r="E257" i="1"/>
  <c r="E266" i="1"/>
  <c r="E265" i="1"/>
  <c r="I265" i="1" s="1"/>
  <c r="J265" i="1" s="1"/>
  <c r="E264" i="1"/>
  <c r="E261" i="1"/>
  <c r="E260" i="1"/>
  <c r="E259" i="1"/>
  <c r="E258" i="1"/>
  <c r="I138" i="1"/>
  <c r="J138" i="1"/>
  <c r="I139" i="1"/>
  <c r="J139" i="1"/>
  <c r="I140" i="1"/>
  <c r="J140" i="1"/>
  <c r="I141" i="1"/>
  <c r="J141" i="1"/>
  <c r="I142" i="1"/>
  <c r="J142" i="1" s="1"/>
  <c r="I143" i="1"/>
  <c r="J143" i="1"/>
  <c r="I144" i="1"/>
  <c r="J144" i="1"/>
  <c r="I145" i="1"/>
  <c r="J145" i="1"/>
  <c r="I147" i="1"/>
  <c r="J147" i="1"/>
  <c r="I148" i="1"/>
  <c r="J148" i="1"/>
  <c r="I150" i="1"/>
  <c r="J150" i="1"/>
  <c r="I151" i="1"/>
  <c r="J151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1" i="1"/>
  <c r="J161" i="1"/>
  <c r="I162" i="1"/>
  <c r="J162" i="1" s="1"/>
  <c r="I163" i="1"/>
  <c r="J163" i="1"/>
  <c r="I86" i="1"/>
  <c r="J86" i="1"/>
  <c r="I87" i="1"/>
  <c r="J87" i="1"/>
  <c r="I88" i="1"/>
  <c r="J88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106" i="1"/>
  <c r="J106" i="1" s="1"/>
  <c r="I107" i="1"/>
  <c r="J107" i="1"/>
  <c r="I109" i="1"/>
  <c r="J109" i="1"/>
  <c r="I110" i="1"/>
  <c r="J110" i="1"/>
  <c r="I111" i="1"/>
  <c r="J111" i="1" s="1"/>
  <c r="I112" i="1"/>
  <c r="J112" i="1"/>
  <c r="I113" i="1"/>
  <c r="J113" i="1" s="1"/>
  <c r="I114" i="1"/>
  <c r="J114" i="1"/>
  <c r="I115" i="1"/>
  <c r="J115" i="1"/>
  <c r="I117" i="1"/>
  <c r="J117" i="1"/>
  <c r="I118" i="1"/>
  <c r="J118" i="1" s="1"/>
  <c r="I119" i="1"/>
  <c r="J119" i="1"/>
  <c r="I120" i="1"/>
  <c r="J120" i="1"/>
  <c r="I121" i="1"/>
  <c r="J121" i="1"/>
  <c r="I122" i="1"/>
  <c r="J122" i="1"/>
  <c r="I123" i="1"/>
  <c r="J123" i="1" s="1"/>
  <c r="I124" i="1"/>
  <c r="J124" i="1" s="1"/>
  <c r="I125" i="1"/>
  <c r="J125" i="1" s="1"/>
  <c r="I126" i="1"/>
  <c r="J126" i="1" s="1"/>
  <c r="I127" i="1"/>
  <c r="J127" i="1" s="1"/>
  <c r="I55" i="1"/>
  <c r="J55" i="1"/>
  <c r="I57" i="1"/>
  <c r="J57" i="1"/>
  <c r="I58" i="1"/>
  <c r="J58" i="1"/>
  <c r="I52" i="1"/>
  <c r="J52" i="1"/>
  <c r="I53" i="1"/>
  <c r="J53" i="1"/>
  <c r="I59" i="1"/>
  <c r="J59" i="1"/>
  <c r="I60" i="1"/>
  <c r="J60" i="1"/>
  <c r="I61" i="1"/>
  <c r="J61" i="1"/>
  <c r="I62" i="1"/>
  <c r="J62" i="1"/>
  <c r="I63" i="1"/>
  <c r="J63" i="1"/>
  <c r="I64" i="1"/>
  <c r="J64" i="1"/>
  <c r="I66" i="1"/>
  <c r="J66" i="1"/>
  <c r="I67" i="1"/>
  <c r="J67" i="1" s="1"/>
  <c r="I68" i="1"/>
  <c r="J68" i="1"/>
  <c r="I69" i="1"/>
  <c r="J69" i="1" s="1"/>
  <c r="I70" i="1"/>
  <c r="J70" i="1"/>
  <c r="I226" i="1"/>
  <c r="J226" i="1" s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91" i="1"/>
  <c r="J191" i="1"/>
  <c r="I192" i="1"/>
  <c r="J192" i="1" s="1"/>
  <c r="I193" i="1"/>
  <c r="J193" i="1"/>
  <c r="I178" i="1"/>
  <c r="J178" i="1"/>
  <c r="I85" i="1"/>
  <c r="J85" i="1" s="1"/>
  <c r="I54" i="1"/>
  <c r="J54" i="1" s="1"/>
  <c r="J301" i="1" l="1"/>
  <c r="J20" i="1" s="1"/>
  <c r="J247" i="1"/>
  <c r="J18" i="1" s="1"/>
  <c r="I258" i="1"/>
  <c r="J258" i="1" s="1"/>
  <c r="I259" i="1"/>
  <c r="J259" i="1" s="1"/>
  <c r="I260" i="1"/>
  <c r="J260" i="1" s="1"/>
  <c r="I261" i="1"/>
  <c r="J261" i="1" s="1"/>
  <c r="I264" i="1"/>
  <c r="J264" i="1" s="1"/>
  <c r="I266" i="1"/>
  <c r="J266" i="1" s="1"/>
  <c r="I257" i="1"/>
  <c r="J257" i="1" s="1"/>
  <c r="I256" i="1"/>
  <c r="J256" i="1" s="1"/>
  <c r="E190" i="1"/>
  <c r="E189" i="1"/>
  <c r="I189" i="1" s="1"/>
  <c r="J189" i="1" s="1"/>
  <c r="E188" i="1"/>
  <c r="E187" i="1"/>
  <c r="I187" i="1" s="1"/>
  <c r="J187" i="1" s="1"/>
  <c r="E177" i="1"/>
  <c r="E176" i="1"/>
  <c r="I176" i="1" s="1"/>
  <c r="J176" i="1" s="1"/>
  <c r="E116" i="1"/>
  <c r="I116" i="1" s="1"/>
  <c r="J116" i="1" s="1"/>
  <c r="E108" i="1"/>
  <c r="I108" i="1" s="1"/>
  <c r="J108" i="1" s="1"/>
  <c r="E152" i="1"/>
  <c r="E149" i="1"/>
  <c r="E146" i="1"/>
  <c r="E137" i="1"/>
  <c r="I137" i="1" s="1"/>
  <c r="J137" i="1" s="1"/>
  <c r="E105" i="1"/>
  <c r="E104" i="1"/>
  <c r="E103" i="1"/>
  <c r="E102" i="1"/>
  <c r="E101" i="1"/>
  <c r="E100" i="1"/>
  <c r="E99" i="1"/>
  <c r="E89" i="1"/>
  <c r="J272" i="1" l="1"/>
  <c r="J19" i="1" s="1"/>
  <c r="I101" i="1"/>
  <c r="J101" i="1" s="1"/>
  <c r="I102" i="1"/>
  <c r="J102" i="1" s="1"/>
  <c r="I104" i="1"/>
  <c r="J104" i="1" s="1"/>
  <c r="I105" i="1"/>
  <c r="J105" i="1" s="1"/>
  <c r="E160" i="1"/>
  <c r="I149" i="1"/>
  <c r="J149" i="1" s="1"/>
  <c r="I185" i="1"/>
  <c r="J185" i="1" s="1"/>
  <c r="I177" i="1"/>
  <c r="J177" i="1" s="1"/>
  <c r="I89" i="1"/>
  <c r="J89" i="1" s="1"/>
  <c r="I190" i="1"/>
  <c r="J190" i="1" s="1"/>
  <c r="I100" i="1"/>
  <c r="J100" i="1" s="1"/>
  <c r="I103" i="1"/>
  <c r="J103" i="1" s="1"/>
  <c r="I146" i="1"/>
  <c r="J146" i="1" s="1"/>
  <c r="I152" i="1"/>
  <c r="J152" i="1" s="1"/>
  <c r="I188" i="1"/>
  <c r="J188" i="1" s="1"/>
  <c r="I99" i="1"/>
  <c r="J99" i="1" s="1"/>
  <c r="E65" i="1"/>
  <c r="E56" i="1"/>
  <c r="J129" i="1" l="1"/>
  <c r="J14" i="1" s="1"/>
  <c r="I65" i="1"/>
  <c r="J65" i="1" s="1"/>
  <c r="I186" i="1"/>
  <c r="J186" i="1" s="1"/>
  <c r="J195" i="1" s="1"/>
  <c r="I56" i="1"/>
  <c r="J56" i="1" s="1"/>
  <c r="I160" i="1"/>
  <c r="J160" i="1" s="1"/>
  <c r="J165" i="1" s="1"/>
  <c r="J15" i="1" s="1"/>
  <c r="J16" i="1" l="1"/>
  <c r="J72" i="1"/>
  <c r="J13" i="1" s="1"/>
  <c r="J22" i="1" l="1"/>
  <c r="J10" i="1" s="1"/>
</calcChain>
</file>

<file path=xl/sharedStrings.xml><?xml version="1.0" encoding="utf-8"?>
<sst xmlns="http://schemas.openxmlformats.org/spreadsheetml/2006/main" count="755" uniqueCount="292">
  <si>
    <t>tétel</t>
  </si>
  <si>
    <t>mennyiség</t>
  </si>
  <si>
    <t>egység</t>
  </si>
  <si>
    <t>anyag egys.ár HUF</t>
  </si>
  <si>
    <t>összes egys.ár HUF</t>
  </si>
  <si>
    <t>ár összesen HUF</t>
  </si>
  <si>
    <t>ÖSSZESÍTÉS</t>
  </si>
  <si>
    <t>Építőmesteri munkák</t>
  </si>
  <si>
    <t>01</t>
  </si>
  <si>
    <t>02</t>
  </si>
  <si>
    <t>Szerkezetépítés</t>
  </si>
  <si>
    <t>03</t>
  </si>
  <si>
    <t>04</t>
  </si>
  <si>
    <t>05</t>
  </si>
  <si>
    <t>06</t>
  </si>
  <si>
    <t>07</t>
  </si>
  <si>
    <t>08</t>
  </si>
  <si>
    <t>Az épület és az építési terület állandó és végleges takarítása. Minden épületszerkezet és épülettechnikai berendezés átadás előtti tisztítása és portalanítása.</t>
  </si>
  <si>
    <t>Monolit és előregyártott vb. szerkezetek betonacél mennyisége előzetesen számolt ill. becsült értékekkel szerepel.</t>
  </si>
  <si>
    <t>A különféle segédeszközök, munkagépek, állványzatok, dúcolatok stb. nem kerülnek kiírásra, azok az egységárakba beépítendők.</t>
  </si>
  <si>
    <t>Az elkészült falakban maradt zsaluzástechnikai lyukakat, a zsaluzási hüvelyeket utólag vízzáró dugóval kell ledugózni.</t>
  </si>
  <si>
    <t>Vb. darupályatartó</t>
  </si>
  <si>
    <t>A megadott súlyban a sínrögzítő elemek és a darusín közepén lévő fixponti megfogás is mennyiségelve van.</t>
  </si>
  <si>
    <t>Geodéziai kitűzések</t>
  </si>
  <si>
    <t>A pontos építés csak pontos, többszöri kitűzéssel lehetséges.</t>
  </si>
  <si>
    <t>Bitumenes védőkenés</t>
  </si>
  <si>
    <t>A kitűzés megengedett pontatlansága az egyenestől max. 3mm legyen.</t>
  </si>
  <si>
    <t>Bitumenes védőkenés készítése Bonobit HS bitumenes bevonóanyaggal a darupályatartó terepszint alatti felületein. Gyártó: Ceresit</t>
  </si>
  <si>
    <t>Szerelőbeton szállítása és szakszerű beépítése különböző vastagságban, a vb. darupályatartó alatt, a vb. cölöpalapok között.</t>
  </si>
  <si>
    <t>A horgonycsavarok beépítését és a kiöntőhabarcs aláöntést ld. külön tételben.</t>
  </si>
  <si>
    <t>Darusín beépítése</t>
  </si>
  <si>
    <t>A darusín a darugyártó (Künz GmbH) igénye szerinti PRI 85R típusú darusín, mely egy darabba összehegesztve kerül lerögzítésre. A darusínek fixpontja a pálya közepén van. A sínrögzítés lehetővé teszi a sín hőmozgását.</t>
  </si>
  <si>
    <t>04.4</t>
  </si>
  <si>
    <t>A zsaluzat nagytáblás zsaluzat legyen, de a látszóbeton felület nem követelmény.</t>
  </si>
  <si>
    <t>Acéllemezek gyártása sínrögzítéshez</t>
  </si>
  <si>
    <t>A javasolt sínhossz L=12m, de ennél hosszabb sínek is beépíthetők.</t>
  </si>
  <si>
    <t>Gyártó: pl. SM-Schienentechnik GmbH., Duisburg. (www.http://sm-schienentechnik.de)</t>
  </si>
  <si>
    <t>Az egyes pozíciókban nevesített termékek helyett vele műszakilag egyenértékű más termék is megajánlható; ezt az ajánlat mellékleteként csatolni kell. Az egyenértékűséget az ajánlatadónak bizonyítania kell. A megajánlott más terméket az építtetőnek vagy a műszaki ellenőrnek el kell fogadnia.</t>
  </si>
  <si>
    <t>Sínrögzítő acéllemezek aláöntése</t>
  </si>
  <si>
    <t>Korrózióvédelem: alap- és fedőmázolás (felülről és az oldalsó éleken)</t>
  </si>
  <si>
    <t>A sínek bemérése</t>
  </si>
  <si>
    <t>Darupályák földelése</t>
  </si>
  <si>
    <t>Cölöptengelyek kitűzése</t>
  </si>
  <si>
    <t>Darusín beépítése összesen</t>
  </si>
  <si>
    <t>A megadott ár a cölöpalapozás komplett és szakszerű elvégzéséhez szükséges költségeket tartalmazza.</t>
  </si>
  <si>
    <t>betonacél: B500C (C-szívóssági osztály)</t>
  </si>
  <si>
    <t>A cölöpöket magasságilag túl kell betonozni, majd a tervezett magasságra (103,50mBf) vissza kell vésni. A vasalás min. 50cm-rel nyúljon túl a a cölöp visszavésett felső síkján. A dpt. végein a szélső mezőkben a cölöpök nagyobb vízszintes hajlítása miatt erősített vasalás szükséges.</t>
  </si>
  <si>
    <t>Betonminőség: min. C30/37-XC3-XA1; betonacél: B500B</t>
  </si>
  <si>
    <t>Fúrt cölöpalapozás helyett más cölöpözés is megajánlható (pl. talajkiszorításos cölöp), de min. a megadott teherbírással.</t>
  </si>
  <si>
    <t>Az alternatív ill. szükség szerinti tételek cellái kék színűek. Itt csak az egységárak kitöltendők, és az összegzésbe nem kell beszámítan!</t>
  </si>
  <si>
    <t>fm</t>
  </si>
  <si>
    <t>Konténertároló vb. alaptestjei</t>
  </si>
  <si>
    <t>Vasbeton talpgerendák készítése a konténerek számára zsaluzással, vasalással, a felső látható élek 20mm/45fokos lesarkításával, a felület teljesen síkra történő lehúzásával; a talpgerendák alatt a fagyhatárig lenyúló sávalappal.</t>
  </si>
  <si>
    <t>szerkezeti beton: C30/37-16-XC4- XF3</t>
  </si>
  <si>
    <t>A talpgerendák jellemző keresztmetszete:</t>
  </si>
  <si>
    <t>Az összehegesztett darusín kilélegeztetése semleges hőmérsékleten, méretre vágása.</t>
  </si>
  <si>
    <t>04.5</t>
  </si>
  <si>
    <t>PRI 85R típusú darusín (DIN 536 szerint) szállítása és elhelyezése</t>
  </si>
  <si>
    <t>Vb. darupályatartó tartószerkezete összesen</t>
  </si>
  <si>
    <t xml:space="preserve">Az egységárakba bele kell kalkulálni a munka szakszerű elvégzéséhez szükséges összes munkarészre vonatkozó költséghányadot. </t>
  </si>
  <si>
    <t>Például betonozási munkáknál: távtartók elhelyezése, áttörések bezsaluzása, vasszerelési segédanyagok, beton vibrálása, próbakockák öntése és minősítése, frissbeton védőtakarása, beton utógondozása stb.</t>
  </si>
  <si>
    <t>m2</t>
  </si>
  <si>
    <t>Szerelőbeton</t>
  </si>
  <si>
    <t>09</t>
  </si>
  <si>
    <t>10</t>
  </si>
  <si>
    <t>Építőmesteri munkák összesen:</t>
  </si>
  <si>
    <t>Szerelt, fektetett burkolatok, szigetelések ill. bármely szerelési munkák esetén a rögzítőelemek belekalkulálandók az egységárba. A rögzítőelemek megfelelő megválasztása a kivitelező felelőssége (kivéve tartószerkezetek).</t>
  </si>
  <si>
    <t>04.1</t>
  </si>
  <si>
    <t>04.2</t>
  </si>
  <si>
    <t>Bontási tételekhez automatikusan hozzáértendő a fel nem használható bontási anyag építés helyszínéről való eltávolítása is, hacsak külön tétel nem szerepel rá.</t>
  </si>
  <si>
    <t>Az anyagok, szerkezetek beépítéséhez szükséges szerszámok, gépi berendezések üzemköltsége.</t>
  </si>
  <si>
    <t>Az anyagok, szerkezetek beépítéséhez szükséges munkaállványok, biztonsági korlátok, egyéb biztonsági berendezések, védőfelszerelések költsége.</t>
  </si>
  <si>
    <t>betonacél</t>
  </si>
  <si>
    <t>A zsaluzásánál nem különböztetjük meg a vízszintes és függőleges felületek mennyiségét; azok egy tételen belül alapvetően azonos jellegűek. Az áttörések méretével nem csökkentjük a zsaluzási mennyiséget (zsaluzni ott is kell). A kétoldalról zsaluzandó vb. falak zsaluzási mennyiségének az értelmezése: a zsaluzattal érinkező betonfelületek összegzett területe (azaz a 2-vel való szorzást tartalmazza).</t>
  </si>
  <si>
    <t>t</t>
  </si>
  <si>
    <t>Megjegyzések az acélszerkezetekhez</t>
  </si>
  <si>
    <t>A tételes egységárakba a következő költségek is bekalkulálandók:</t>
  </si>
  <si>
    <t>db</t>
  </si>
  <si>
    <t>A tételekben szereplő anyagok beszerzése, szükség esetén legyártatása (pl. vasalások, előregyártott vasbetonelemek, ...), építéshelyszínre való szállítása, közbenső tárolása, őrzése, építéshelyszíni anyagmozgatása.</t>
  </si>
  <si>
    <t>A földmunkatételek egységárait a geometriailag mérhető térfogatokkal kell számolni. (A kitermelt, ill. az elszállítandó földmennyiségek tömör, a beépített földmennyiségek tömörített értékben számolandók.) Ez vonatkozik a szállítási tételekre is.</t>
  </si>
  <si>
    <t>Megjegyzések a vasbetonszerkezetekhez</t>
  </si>
  <si>
    <t>A vb.szerkezetek alapvetően három munkanemben vannak kiírva: zsaluzás, vasalás, és betonozás.</t>
  </si>
  <si>
    <t>A statikus tervekben szereplő méretek számolhatók el.</t>
  </si>
  <si>
    <t>Esetleges anyagszállítássalkapcsolatos többletköltségek. (pl. vám)</t>
  </si>
  <si>
    <t>Minden szükséges kitűzési munka.</t>
  </si>
  <si>
    <t>Általános megjegyzések:</t>
  </si>
  <si>
    <t>m3</t>
  </si>
  <si>
    <t>Betonminőség: C12/15-32-X0</t>
  </si>
  <si>
    <t>A felület sík és léccel durván lehúzott.</t>
  </si>
  <si>
    <t>munkadíj egys.ár HUF</t>
  </si>
  <si>
    <t>Alapozás összesen</t>
  </si>
  <si>
    <t>Az építés helyszínén kitermelt és az az építtető által eltávolítani engedélyezett humusz, földanyag, bontási anyag, maradékanyag stb. a kivitelező tulajdonába kerülnek. Az építési telekről való eltávolításuk, törvényes elhelyezésük vagy értékesítésük a kivitelező feladata és felelőssége.</t>
  </si>
  <si>
    <t>Fenti körülmények az egységárkalkulációnál fegyelembe veendők.</t>
  </si>
  <si>
    <t>04.3</t>
  </si>
  <si>
    <t>zsaluzás</t>
  </si>
  <si>
    <t>Leírás</t>
  </si>
  <si>
    <t>Dilatáció képzése: 2cm vastag polisztirol hőszigetelőlappal, melyet betonozás után ki kell kaparni, majd a helyét ki kell tölteni egy polifoam hurkával (hátűrkitöltő zsinórral).</t>
  </si>
  <si>
    <t>Az acéllemezek erőátadó aláöntése PAGEL Vergussmörtel V1/10 kiöntőhabarccsal kb. 40mm-es átlagos tervezett vastagsággal, 320*400mm-es méretben. A kiöntendő hasábot oldalról zsaluzni kell.</t>
  </si>
  <si>
    <t>Kábellétra tartókonzoljai</t>
  </si>
  <si>
    <t xml:space="preserve">Kábellétra </t>
  </si>
  <si>
    <t>A kábellétrába tekerednek bele a daruk villamos betápkábelei. A létra legömbölyített kell legyen; éles/érdes részeket a kábelek sérülékenysége maitt nem tartalmazhat.</t>
  </si>
  <si>
    <t>Az egyes pozíciókban nevesített termékekeket meg kell ajánlani. A termékek helyett velük műszakilag egyenértékű más termék is megajánlható; ezt az ajánlat mellékleteként csatolni kell. Az egyenértékűséget az ajánlatadónak bizonyítania kell. A megajánlott más terméket az építtetőnek vagy a műszaki ellenőrnek el kell fogadnia.</t>
  </si>
  <si>
    <t>Fejezet</t>
  </si>
  <si>
    <t>Alfejezet</t>
  </si>
  <si>
    <t>Összegzés</t>
  </si>
  <si>
    <t>KV-2.5</t>
  </si>
  <si>
    <t>Vb. darupályatartó alapozási munkák</t>
  </si>
  <si>
    <t>Vb. darupályatartó felszerkezete</t>
  </si>
  <si>
    <t>Konténeralapok</t>
  </si>
  <si>
    <t>Vb. támfalak</t>
  </si>
  <si>
    <t>Hídmérleg</t>
  </si>
  <si>
    <t>Magasságkorlátozó kapuk</t>
  </si>
  <si>
    <t>Össz. KV-2.5</t>
  </si>
  <si>
    <t>M</t>
  </si>
  <si>
    <t>Vb. darupályatartó alapozás</t>
  </si>
  <si>
    <t>Sínrögzítő acéllemezek ledűbelezése</t>
  </si>
  <si>
    <t>Lv240x20-300 acéllemezek beépítése és beragasztása HILTI HAS-U-8.8 M20/260 horgonycsavarokkal, Hilti HIT-RE 500 epoxibázisú ragasztóval.</t>
  </si>
  <si>
    <t>A sín anyagminősége: 690N/mm2 szakítószilárdságú acél kell legyen.</t>
  </si>
  <si>
    <t>A horgonycsavarok száma: 4db/acéllemez. A tétel mennyisége a dűbelek darabszáma.</t>
  </si>
  <si>
    <t>Hézagnélküli PRI 85R típusú darusín előállítása AT technológiájú hegesztéssel, a varratok síkba munkálásával. A hegesztési felületen is folyamatos, dudor és síkváltás nélküli kell legyen a sín futófelülete.</t>
  </si>
  <si>
    <t>A sínek geodéziai bemérése vízszintes és függőleges értelemben, egymástól 2,4m-re (minden 3. sínrögzítésnél) felvett mérési pontokkal; mérési protokoll készítése, a protokoll átadása az építtető számára.
Átadásra csak a követelményeknek megfelelő sínek kerülhetnek.</t>
  </si>
  <si>
    <t>Hivatásos földmérő tűzze ki a cölöpalapok középpontjait max. 1cm megengedett pontatlansággal. A kitűzést úgy kell végezni, hogy 
1. a cölöpök középpontja egyértelmű legyen
2. az elkészült cölöp pontossága kimérhető legyen.</t>
  </si>
  <si>
    <t>Cölöpalapozás (D=100cm)</t>
  </si>
  <si>
    <t>A cölöpök teherbírásának a számításához több CPT megbízhatóbb eredményre vezet, így megfontolnadó még további CPT-szondák készítése.</t>
  </si>
  <si>
    <t>Cölöpalapozás (D=60cm)</t>
  </si>
  <si>
    <t>Fúrt CFA-cölöpalapozás készítése 100cm átmérővel, a lavírsíkról indítva, a termett talajban.</t>
  </si>
  <si>
    <r>
      <t>A cölöpalapok kombinált típusúak, talp- és palástellenállással. Az elérendő teherbírás min. N</t>
    </r>
    <r>
      <rPr>
        <vertAlign val="subscript"/>
        <sz val="8"/>
        <rFont val="Arial"/>
        <family val="2"/>
        <charset val="238"/>
      </rPr>
      <t>Rd</t>
    </r>
    <r>
      <rPr>
        <sz val="8"/>
        <rFont val="Arial"/>
        <family val="2"/>
        <charset val="238"/>
      </rPr>
      <t>=1400kN kell legyen.</t>
    </r>
  </si>
  <si>
    <t>A cölöpalapok vasalását a cölöp aljáig le kell vezetni. A cölöpök tervezett  hossza L=14,5m, a cölöpök talpa a 67,0mBf szinten tervezett. A cölöpfej tetején sűrített távolságú csavarkengyelezés szükséges.</t>
  </si>
  <si>
    <t>A kitermelt talajok a telken kerülnek végleges elhelyezésre. A visszavésett cölöpfejek betontörmelékét szabad a telken belül felhasználni.</t>
  </si>
  <si>
    <t>CPT-szondázások</t>
  </si>
  <si>
    <t>átny</t>
  </si>
  <si>
    <t>Szükség szerint további CPT-szondázás végrehajtása, az Ajánlattevő megítélése szerinti mennyiségben.</t>
  </si>
  <si>
    <t>Cölöptengelyek bemérése</t>
  </si>
  <si>
    <t>Az elkészült cölöpözés középpontjairól geodéziai felmérést kell készíteni, s az eredményeket jegyzőkönyvben átadni.</t>
  </si>
  <si>
    <t>Mint az előző tétel, de D=60cm átmérőjű cölöpalapokkal, L=13,0m-es hosszal, min. 600kN ill. -300kN teherbírással.</t>
  </si>
  <si>
    <t>átny.</t>
  </si>
  <si>
    <t>A betonacélok minősége B500C, azaz növelt szívósságú osztállyal!</t>
  </si>
  <si>
    <t>Figyelem!</t>
  </si>
  <si>
    <t>A kellően pontos kivitelezéshez szükséges geodéziai kitűzések költsége. A követelményeket a tervek és a műszaki leírás tartalmazzák.</t>
  </si>
  <si>
    <t>A darupályatartó kiírt 354m-es hossza reális; de nem feltétlenül végleges, mert a tender kiadásakor még nincsen végleges darus adatszolgáltatás!</t>
  </si>
  <si>
    <t>Vasbeton talpgerendák szakszerű készítése zsaluzással, mixerbetonból, a vasalás statikus kiv. terv szerinti elhelyezésével, beleértve az összes betontechnológiai szerelvényt is, a tervezett szögtámfal keresztmetszettel, 24m-enként dilatálva; egy köztes munkahézagot képezve.</t>
  </si>
  <si>
    <t>A darupályatartók vasalási jellegét ld. az ST-6 terven. A két felső élet 15mm/45fok élletöréssel kell kialakítani.</t>
  </si>
  <si>
    <t>beton: C30/37-24-XC3-XA1 (alsó 50cm rész)</t>
  </si>
  <si>
    <t>beton: C30/37-24-XC4-XF3-XA1</t>
  </si>
  <si>
    <t>beton: C30/37-24-XC4-XF3-XA1 (felső 150cm rész)</t>
  </si>
  <si>
    <t>hátűrkitöltő zsinór behelyezése + Mapei Mapeflex kenés</t>
  </si>
  <si>
    <t>15mm/45fok élletörés képzése</t>
  </si>
  <si>
    <t>A kiöntőhabarcs térfogata lemezenként  4,0 dm3 (összesen kb. 3,76m3).</t>
  </si>
  <si>
    <t xml:space="preserve">A darusínek rögzítése Gantrail rendszerben, Gantrail 3120 15/40 típusú, vagy vele egyenértékű szorítócsavarokkal és 7mm vastag elastomer lemezzel a sín és az acéllemezek között, a 4db csavaranyát nyomatékmérő kulccsal a szükséges határok közti értékkel meghúzva. Beleértve a fixpont hegesztett lerögzítését is.
</t>
  </si>
  <si>
    <t>Geodéziai kitűzés</t>
  </si>
  <si>
    <t>A darusínt vízszintes és függőleges értelemben is egyenesen, attól igen keveset eltérve kell megépíteni. A követelményeket ld. a statikus műszaki leírásban (ISO 12488-1:2012 szerint).</t>
  </si>
  <si>
    <t>A magassági kitűzés alapja: SK=83,63mBf sínkoronaszint</t>
  </si>
  <si>
    <t>A kitúzéshez EOV-alapú helyszínrajzot fogunk biztosítani.</t>
  </si>
  <si>
    <t>Tűzihorganyzott D20-as betonacélok fektetése a földben a darupályatartók között, csatlakoztatva a vb. darupályatartókban elhelyezett vasaláshoz, a sínekhez th. laposacélokkal bekötve, a villamos műszaki leírás ill. a villamos kiviteli tervek szerint - ld. a villamos kiírásban.</t>
  </si>
  <si>
    <t>Fajlagos mennyiség: kb. 2,4m2/fm; a felhordandó mennyiség kb. 0,75kg/m2</t>
  </si>
  <si>
    <t>Betontechnológus közreműködése</t>
  </si>
  <si>
    <t>A darupályatartó betonjának a megtervezésére szakértő betontechnológust kell megbízni (receptúra tervezése, adalékanyagok, lassan kötő cement alkalmazása, tömegbeton hőfejlődésének a kezelése, a friss beton magassági ülepedésének az ellenőrzése stb.)</t>
  </si>
  <si>
    <t>Darusín lerögzítése</t>
  </si>
  <si>
    <t>Kábellétratartók gyártása és szerelése, N50/50*4-es zártszelvényekből hegesztve, a darupályatartó oldalára dűbelezve, tűzihorganyzott kivitelben. A tartók dűbelezése:4-4db HILTI HSA M8 dűbellel. Készül: kb. 118db konzol, egyenként kb. 10,0kg súllyal.</t>
  </si>
  <si>
    <t>Kábellétrarendszer szállítása és szerelése 3m-enként elhelyezett acélkonzolokra. Gyártmány: OBO Bettermann LG 640 VS 6 FT jelű, 6m hosszú tűzihorganyzott kábellétra (vagy vele egyenértékű), beleértve a kengyelbilincses rögzítést az acélkonzolhoz, valamint a rendszer LVG 60 FT jelű toldóelemeit, soktámaszú tartó kialakítása hossztoldással.</t>
  </si>
  <si>
    <t>A sínek beépítési pontosságának a tájékoztató értéke a VDI 3576 1.osztály besorolása szerint:
- max. 9mm-es vízszintes nyomtávváltozás
- sínszál vízszintes kígyózása: 2m-en max.1mm, de legfeljebb 5mm
- sínszál magassági kígyózása: ugyanaz, mint vízszintesen
- a sínfej magassági eltérése a tervezettől: max. +/-5mm
- a két szemben fekvő sínfej magassági eltérése: max. +/-5mm
- a sín ferdesége keresztirányban: max. 1,5mm mag. különbség</t>
  </si>
  <si>
    <t>A javasolt megoldás: 22mm átmérőjű, 10mm vtg. épületgépész csőhéjszigetelés, mely 2m-es darabokban kapható.</t>
  </si>
  <si>
    <t>A dilatációs cölöpök fejtömbjéből kiálló függőleges tüskevasak körülbandázsolása 60cm magasságban, 10mm vastag polietilén szivaccsal, hogy a dilatációs mozgások többlet feszültségek létrejötte nélkül kialakulhassanak. Készül: 2*14*16=448 db betonacélra.</t>
  </si>
  <si>
    <t>Tüskevasak bandázsolása</t>
  </si>
  <si>
    <t>Acéllemezek gyártása 240*20-300mm-es mérettel, lemezenként 4db D22-es furattal, és 2db M20-as belső menetes furattal, S235 acélból.</t>
  </si>
  <si>
    <t>Villamos csatlakozás szerkezetei</t>
  </si>
  <si>
    <t>betonacél: B500B</t>
  </si>
  <si>
    <t>horganyzott acélszerkezet</t>
  </si>
  <si>
    <t>TR35/207-0,75 trapézlemez fedés</t>
  </si>
  <si>
    <t>Földbe befogott vasbeton fal építése, kiegészítve egy nyitott kis védőtető padlólemezével. A védőtető egy pár négyzetméteres oldalról nyitott térlefedés, négy ledűbelezett, tűzihorganyzott, zártszelvényű oszloppal, a tetejükön átfutó acélgerendákkal és trapézelemz fedéssel.</t>
  </si>
  <si>
    <t>Egyebek</t>
  </si>
  <si>
    <t>Konténeralapok összesen</t>
  </si>
  <si>
    <t>Vb. támfalak  összesen</t>
  </si>
  <si>
    <t>Magasságkorlátozó kapuk összesen</t>
  </si>
  <si>
    <t>Egyéb szerkezetek összesen</t>
  </si>
  <si>
    <t>Egyéb szerkezetek</t>
  </si>
  <si>
    <t>Megjegyzések a konténeralapokhoz</t>
  </si>
  <si>
    <t>A telek kb. 1,5m-es feltöltése miatt a kont.alapok alsó síkjáig CKT fog készülni, így földmunka nem tartozik az alapokhoz; csak vasalatlan sávalap és vasbeton alapok.</t>
  </si>
  <si>
    <t>A jelen kiírásban az alábbiakat mennyiségeltük:</t>
  </si>
  <si>
    <t>Vasbeton talpgerendák alatt vasalatlan beton sávalapok betonozása C12/15-32-X0 betonból</t>
  </si>
  <si>
    <t>A betont az XA1 kitéti osztály miatt szulfátálló cement felhasználásával készítve.
A cement egyúttal kis hőfejlődésű (270 J/g) cementfajta legyen.</t>
  </si>
  <si>
    <t>A felhasznált cement kis hőfejlődésű (270 J/g) cementfajta legyen.</t>
  </si>
  <si>
    <t>- 75cm széles alapokhoz: 16db 8,06m-es; 1db 13,60m-es; 9db 16,34m-es alaptest és 806fm-nyi konténeralap (összesen kb. 1096fm)</t>
  </si>
  <si>
    <t>- 150cm széles alapokhoz: 50db 8,06m-es; 1db 13,60m-es; 20db 16,34m-es alaptest (összesen kb. 743fm)</t>
  </si>
  <si>
    <t>01.1</t>
  </si>
  <si>
    <t>vasalatlan beton sávalapok zsaluzása</t>
  </si>
  <si>
    <t>01.2</t>
  </si>
  <si>
    <t>02.1</t>
  </si>
  <si>
    <t>02.2</t>
  </si>
  <si>
    <t>02.3</t>
  </si>
  <si>
    <t>02.4</t>
  </si>
  <si>
    <t>02.5</t>
  </si>
  <si>
    <t>Az alapok végein L60.60.6 szelvényű élvédő szögacélokat kell beépíteni, bekötőkarmokkal ellátva, festett kivitelben.</t>
  </si>
  <si>
    <t>élvédő szögacélok az alapok végein (6,5 ill. 13kg/db)</t>
  </si>
  <si>
    <t>Dilatációképzés</t>
  </si>
  <si>
    <t>dilatációképzés 2cm vtg. PS-lapokkal</t>
  </si>
  <si>
    <t>Dilatációképzés 1cm vastag polisztirol lapokkal (75*70cm), kívülről és felülről  Mapei Mapeflex kenéssel ellátva.</t>
  </si>
  <si>
    <t>Feltöltés a konténerek között</t>
  </si>
  <si>
    <t>A feltöltést (talaj + felül murva) kd. a KV1.1 kiírásban.</t>
  </si>
  <si>
    <t>Hídmérleg vb. aknája</t>
  </si>
  <si>
    <t>bebetonozott acélbetét</t>
  </si>
  <si>
    <t>Vasbeton akna készítése hídmérleg számára C30/37-16-XC4 min. betonból, zsaluzással, és kb. 90 kg/m3 betonacél felhasználással, nyersbeton felülettel, 20 cm fal- és 30cm-es fenéklemez vastagsággal, kb. 18,04*3,04m-es belmérettel.</t>
  </si>
  <si>
    <t>Megjegyzés</t>
  </si>
  <si>
    <t>A hídmérleg akna tervét az építtető által kiválasztandó gyártó adott típusához fogjuk elkészíteni, adatszolgáltatás alapján. A kiírt mennyiségek korábbi projekt alapján lettek becsülve.</t>
  </si>
  <si>
    <t>fenéklemez betonja C25/30-24-XC2</t>
  </si>
  <si>
    <t>oldalfalak betonja C25/30-24-XC2</t>
  </si>
  <si>
    <t>betonacél  B500B</t>
  </si>
  <si>
    <t>fenéklemezen álló vb. tömbök (kb, 1,0x1,2m)</t>
  </si>
  <si>
    <t>0,4*0,5*0,25m-es fészkek kibetonozása, acélbetétek elhelyezésekor</t>
  </si>
  <si>
    <t>lejtbeton C25/30-8-XC2</t>
  </si>
  <si>
    <t>NA32÷NA110 védőcsövek</t>
  </si>
  <si>
    <t>m</t>
  </si>
  <si>
    <t>01.3</t>
  </si>
  <si>
    <t>01.4</t>
  </si>
  <si>
    <t>01.5</t>
  </si>
  <si>
    <t>01.6</t>
  </si>
  <si>
    <t>01.7</t>
  </si>
  <si>
    <t>01.8</t>
  </si>
  <si>
    <t>01.9</t>
  </si>
  <si>
    <t>bebetonozott L100.100.10 élvédelem, tűzihorganyozva</t>
  </si>
  <si>
    <t>20cm murvafeltöltés tömörítve</t>
  </si>
  <si>
    <t>01.10</t>
  </si>
  <si>
    <t>01.11</t>
  </si>
  <si>
    <t>01.12</t>
  </si>
  <si>
    <t>01.13</t>
  </si>
  <si>
    <t>költségtöbblet a megnövel pontossági igény teljesítésére</t>
  </si>
  <si>
    <t>A megfelelő hídmérleg típusának a meghatározása és beszerzése az Építtető feladata; beleértve az akna lefedését biztosító vb. födémelemeket is (amikre rájárnak majd a kamionok).</t>
  </si>
  <si>
    <t>Tengelysúlymérő</t>
  </si>
  <si>
    <t>Tengelysúlymérő  összesen</t>
  </si>
  <si>
    <t>Munkagödör kimarkolása</t>
  </si>
  <si>
    <t>Cölöpalapozás</t>
  </si>
  <si>
    <t>Lehorgonyzó szerkezet</t>
  </si>
  <si>
    <t>Munkagödör kimarkolása az alaptestek helyén.</t>
  </si>
  <si>
    <t>D60 cölöpalapok készítése  kb. 6m mélységgel.</t>
  </si>
  <si>
    <t>Acél lehorgonyzó szerelvény  gyártása és szállítása a helyszínre. A szerelvény 4db M27-es min. 5.8 minőségű 1000mm-es horg. menetes szárból áll, 10cm kiállással a vb. alaptest síkja fölé; valamint kb. 60kg acéllemezből. A be nem betonozott acéllemezek tűzihorganyzottak.</t>
  </si>
  <si>
    <t>Vasbeton pilléralapok</t>
  </si>
  <si>
    <t>betonminőség: C25/30-24-XC2</t>
  </si>
  <si>
    <t xml:space="preserve">betonacél B500B </t>
  </si>
  <si>
    <t>Lehorgonyzó elemek elhelyezése</t>
  </si>
  <si>
    <t>Lehorgonyzó elemek elhelyzése a vasalás közé, geodéziai kitűzés után 5mm-en belüli pontossággal, a lehorg. elemek elmozdulás elleni rögzítésével.</t>
  </si>
  <si>
    <t>A lehorgonyzóelemek gyártását ld. az acélszerkezeteknél kiírva.</t>
  </si>
  <si>
    <t xml:space="preserve">Védőtető acéltartónak a gyártása, szállítása és szerelése, alap+fedőmázolt kivitelben, helyszíni csavarozott kapcsolatokkal. A festékrétegek összvastagsága min. 200 mikron legyen. A kapuzat oszlopai vastagfalú csőszelvényből gyártottak (várhatóan CHS194x8), az ütközőgerenda kb. 20mm-es acéllemezekből hegesztett </t>
  </si>
  <si>
    <t>Védőkapuk acél felszerkezete</t>
  </si>
  <si>
    <t>Pillérek aláöntése</t>
  </si>
  <si>
    <t>A pillérek talplemezének az aláöntése Mapei MAPEFILL R zsugorodáskompenzált kiöntőhabarccsal, kb. 4cm vastagságban, kb. 10dm3/pillér térfogattal.</t>
  </si>
  <si>
    <t>Vasbeton pilléralapok készítése vasalással, zsaluzással, a felső látszó éleket 15fok/45mm-es élletöréssel, lehorgonyzó elemek elhelyezésével. Vasalás elhelyezése a statikus terv szerint.</t>
  </si>
  <si>
    <t xml:space="preserve">A vasúti átjáró előtt két magasságkorlátozó kapu készül, nehogy a konténeremelő targonca le tudja szakítani a villamos felsővezetéket.
A kapukkal szemben támasztott követelmények még nincsenek tisztázva, így a kiírásban szereplő adatok és mennyiségek csak becsült előirányzatnak tekinthetők.
</t>
  </si>
  <si>
    <t>Földvisszatöltés</t>
  </si>
  <si>
    <t>Földvisszatöltés az alaptestek mellett, rétegenkénti tömörítéssel (Tr-gamma=95%), beleértve az építéshelyszíni (telken belüli) anyagmozgatást, helyi anyagból.</t>
  </si>
  <si>
    <t>Fényvető oszlop</t>
  </si>
  <si>
    <t>Infrastr. aknák</t>
  </si>
  <si>
    <t>A villamos kábelezések és az optikai vezetékek kiépítéséhez szükséges vb. aknák kiírását ld. a KV1.1 kiírásban.</t>
  </si>
  <si>
    <t>soványbeton pontalap C10/12-X0</t>
  </si>
  <si>
    <t>Megjegyzések a támfalakhoz</t>
  </si>
  <si>
    <t>Munkagödör kimarkolása a támfalak talplemeze helyén</t>
  </si>
  <si>
    <t>Szerelőbeton szállítása és szakszerű beépítése különböző vastagságban, a különböző alaptestek alatt.</t>
  </si>
  <si>
    <t>betonminőség: C10/12-32-X0</t>
  </si>
  <si>
    <t>Támfalak vb. talplemeze</t>
  </si>
  <si>
    <t>zsaluzás (oldalsó)</t>
  </si>
  <si>
    <t>Támfalak felmenő vb. fala</t>
  </si>
  <si>
    <t>beton</t>
  </si>
  <si>
    <t>éllesarkítás felül</t>
  </si>
  <si>
    <t>dilatációképzés</t>
  </si>
  <si>
    <t>03.1</t>
  </si>
  <si>
    <t>03.2</t>
  </si>
  <si>
    <t>03.3</t>
  </si>
  <si>
    <t>03.4</t>
  </si>
  <si>
    <t>03.5</t>
  </si>
  <si>
    <t>03.6</t>
  </si>
  <si>
    <t>03.7</t>
  </si>
  <si>
    <t>10.1</t>
  </si>
  <si>
    <t>10.2</t>
  </si>
  <si>
    <t>10.3</t>
  </si>
  <si>
    <t>10.4</t>
  </si>
  <si>
    <t>10.5</t>
  </si>
  <si>
    <t>Beton sávalapok</t>
  </si>
  <si>
    <t>- egyoldali konténerfogadáshoz: 75*70cm</t>
  </si>
  <si>
    <t>- kétoldali konténerfogadáshoz: 150*70cm</t>
  </si>
  <si>
    <t>A fényvető oszlopok kiírását ld. másik kiírásban.</t>
  </si>
  <si>
    <t>Vasbeton talplemez készítése 20cm ill. 25cm vastagságban, C25/30-24-XC2 betonból, a felmenő falak vasalását kitüskézve.</t>
  </si>
  <si>
    <t>A telek nyugati és keleti határvonalán támfalakat kell építeni a telek jelentős megemelése miatt. Az egyik egy lényegében egyenes támfal kb. 206fm hosszúságban; a másik kettő a keleti és az északi telekhatáron fut (az észak-keleti sarkon befordul), és kb. 306fm az összhossza. A támfalak magassága változó; belső és külső terepszint közti max. magasságkülönbség kb. 2,0m, de a felmenő falak max. magassága kb. 3,1m.
Az M1÷M8 jelű támfalak vastagsága 20cm; az M9÷M12 jelűeké 25cm.</t>
  </si>
  <si>
    <t>Vasbeton falak készítése 20cm vastagságban, C30/37-16-XC4-XF1 betonból, a falakat nagytáblás acélzsaluval közel látszóbeton minőségűre zsaluzva.</t>
  </si>
  <si>
    <t>Kerítés</t>
  </si>
  <si>
    <t>A cölöpalapok méretezése, a kiviteli tervek véglegesítése a szakkivitelező cég, által megbízott, cölöpalapozás tervezésére jogosult tervező feladata. A cölöpök vasalási tervét jóváhagyásra a generál statikusnak meg kell küldeni.</t>
  </si>
  <si>
    <t>Cölöpalapozás szaktervezése arra jogosult tervező által, kiviteli tervek felülvizsgálata, véglegesítése, cölöpvasalás tervezése. Generál statikus tervezővel való egyeztetése.</t>
  </si>
  <si>
    <t>KÜLTÉRI MŰTÁRGYAK</t>
  </si>
  <si>
    <r>
      <t xml:space="preserve">A 25m magas fényvető oszlopok kiírását ld. az </t>
    </r>
    <r>
      <rPr>
        <i/>
        <sz val="8"/>
        <rFont val="Arial CE"/>
        <charset val="238"/>
      </rPr>
      <t xml:space="preserve">"KV-4.2  Vasúti térvilágítás" </t>
    </r>
    <r>
      <rPr>
        <sz val="8"/>
        <rFont val="Arial CE"/>
        <family val="2"/>
        <charset val="238"/>
      </rPr>
      <t>tételsorban. Jelen fejezet a magas fényvető oszlopok alapozásával foglalkozik.
A térvilágítási tervek 9db magas fényvető oszlopot irányoznak elő.</t>
    </r>
  </si>
  <si>
    <t>Cölöpalapozás szaktervezése a cölöpözést végző szakcég által: 
a további tételek ára tartalmazza</t>
  </si>
  <si>
    <t>A támfalakra kerülő kerítést ld. a KV-2.6 tételsorban.</t>
  </si>
  <si>
    <t>A számítási képleteket az ajánlattevőnek ellenőriznie kell.</t>
  </si>
  <si>
    <t>Tartalmi módosítás ebben a tételsorban tilos.</t>
  </si>
  <si>
    <t>Minden jellegű műszaki észrevétel vagy alternatíva külön jegyzékben adható meg.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</si>
</sst>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3" x14ac:knownFonts="1">
    <font>
      <sz val="10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4"/>
      <name val="Arial"/>
      <family val="2"/>
    </font>
    <font>
      <b/>
      <sz val="12"/>
      <color indexed="10"/>
      <name val="Arial"/>
      <family val="2"/>
    </font>
    <font>
      <b/>
      <sz val="13"/>
      <color indexed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38"/>
    </font>
    <font>
      <sz val="8"/>
      <color indexed="40"/>
      <name val="Arial"/>
      <family val="2"/>
    </font>
    <font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b/>
      <i/>
      <sz val="8"/>
      <color indexed="12"/>
      <name val="Arial"/>
      <family val="2"/>
    </font>
    <font>
      <sz val="12"/>
      <color indexed="10"/>
      <name val="Arial"/>
      <family val="2"/>
    </font>
    <font>
      <sz val="12"/>
      <name val="Arial Rounded MT Bold"/>
      <family val="2"/>
    </font>
    <font>
      <sz val="10"/>
      <name val="Helv"/>
    </font>
    <font>
      <i/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"/>
      <family val="2"/>
      <charset val="238"/>
    </font>
    <font>
      <sz val="10"/>
      <name val="Arial CE"/>
      <charset val="238"/>
    </font>
    <font>
      <sz val="8"/>
      <color indexed="10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5">
    <xf numFmtId="0" fontId="0" fillId="0" borderId="0"/>
    <xf numFmtId="0" fontId="32" fillId="0" borderId="0"/>
    <xf numFmtId="0" fontId="25" fillId="0" borderId="0"/>
    <xf numFmtId="0" fontId="32" fillId="0" borderId="0"/>
    <xf numFmtId="0" fontId="36" fillId="0" borderId="0"/>
  </cellStyleXfs>
  <cellXfs count="256">
    <xf numFmtId="0" fontId="0" fillId="0" borderId="0" xfId="0"/>
    <xf numFmtId="0" fontId="4" fillId="0" borderId="0" xfId="0" applyFont="1" applyAlignment="1">
      <alignment vertical="top" wrapText="1" readingOrder="1"/>
    </xf>
    <xf numFmtId="49" fontId="5" fillId="0" borderId="2" xfId="0" applyNumberFormat="1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4" fontId="8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vertical="top" wrapText="1"/>
    </xf>
    <xf numFmtId="3" fontId="8" fillId="0" borderId="3" xfId="0" applyNumberFormat="1" applyFont="1" applyBorder="1" applyAlignment="1">
      <alignment horizontal="left" vertical="top" wrapText="1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vertical="top" wrapText="1"/>
    </xf>
    <xf numFmtId="2" fontId="8" fillId="0" borderId="0" xfId="0" applyNumberFormat="1" applyFont="1" applyAlignment="1">
      <alignment horizontal="right" vertical="top" wrapText="1"/>
    </xf>
    <xf numFmtId="0" fontId="7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3" fontId="2" fillId="0" borderId="3" xfId="0" applyNumberFormat="1" applyFont="1" applyBorder="1" applyAlignment="1">
      <alignment horizontal="center" vertical="top" wrapText="1" readingOrder="1"/>
    </xf>
    <xf numFmtId="0" fontId="13" fillId="0" borderId="0" xfId="0" applyFont="1" applyAlignment="1" applyProtection="1">
      <alignment vertical="top" wrapText="1" readingOrder="1"/>
      <protection locked="0"/>
    </xf>
    <xf numFmtId="0" fontId="7" fillId="0" borderId="0" xfId="0" applyFont="1" applyAlignment="1" applyProtection="1">
      <alignment vertical="top" wrapText="1" readingOrder="1"/>
      <protection locked="0"/>
    </xf>
    <xf numFmtId="0" fontId="2" fillId="0" borderId="7" xfId="0" applyFont="1" applyBorder="1" applyAlignment="1">
      <alignment horizontal="center" vertical="top" textRotation="255" wrapText="1" readingOrder="1"/>
    </xf>
    <xf numFmtId="49" fontId="2" fillId="0" borderId="0" xfId="0" applyNumberFormat="1" applyFont="1" applyAlignment="1">
      <alignment horizontal="center" vertical="top" textRotation="255" wrapText="1" readingOrder="1"/>
    </xf>
    <xf numFmtId="3" fontId="2" fillId="0" borderId="0" xfId="0" applyNumberFormat="1" applyFont="1" applyAlignment="1">
      <alignment horizontal="center" vertical="top" wrapText="1" readingOrder="1"/>
    </xf>
    <xf numFmtId="4" fontId="14" fillId="0" borderId="0" xfId="0" applyNumberFormat="1" applyFont="1" applyAlignment="1">
      <alignment horizontal="center" vertical="top" wrapText="1" readingOrder="1"/>
    </xf>
    <xf numFmtId="49" fontId="8" fillId="0" borderId="7" xfId="0" applyNumberFormat="1" applyFont="1" applyBorder="1" applyAlignment="1">
      <alignment horizontal="center" vertical="top" readingOrder="1"/>
    </xf>
    <xf numFmtId="49" fontId="8" fillId="0" borderId="0" xfId="0" applyNumberFormat="1" applyFont="1" applyAlignment="1">
      <alignment horizontal="center" vertical="top" readingOrder="1"/>
    </xf>
    <xf numFmtId="2" fontId="16" fillId="0" borderId="0" xfId="0" applyNumberFormat="1" applyFont="1" applyAlignment="1">
      <alignment vertical="top" readingOrder="1"/>
    </xf>
    <xf numFmtId="3" fontId="12" fillId="0" borderId="3" xfId="0" applyNumberFormat="1" applyFont="1" applyBorder="1" applyAlignment="1">
      <alignment vertical="top" readingOrder="1"/>
    </xf>
    <xf numFmtId="3" fontId="2" fillId="0" borderId="0" xfId="0" applyNumberFormat="1" applyFont="1" applyAlignment="1" applyProtection="1">
      <alignment horizontal="right" vertical="top" readingOrder="1"/>
      <protection locked="0"/>
    </xf>
    <xf numFmtId="0" fontId="13" fillId="0" borderId="0" xfId="0" applyFont="1" applyAlignment="1" applyProtection="1">
      <alignment vertical="top" readingOrder="1"/>
      <protection locked="0"/>
    </xf>
    <xf numFmtId="49" fontId="8" fillId="0" borderId="7" xfId="0" applyNumberFormat="1" applyFont="1" applyBorder="1" applyAlignment="1">
      <alignment horizontal="center" vertical="top" wrapText="1" readingOrder="1"/>
    </xf>
    <xf numFmtId="49" fontId="8" fillId="0" borderId="0" xfId="0" applyNumberFormat="1" applyFont="1" applyAlignment="1">
      <alignment horizontal="center" vertical="top" wrapText="1" readingOrder="1"/>
    </xf>
    <xf numFmtId="0" fontId="13" fillId="0" borderId="0" xfId="0" applyFont="1" applyAlignment="1">
      <alignment vertical="top" wrapText="1" readingOrder="1"/>
    </xf>
    <xf numFmtId="2" fontId="16" fillId="0" borderId="0" xfId="0" applyNumberFormat="1" applyFont="1" applyAlignment="1">
      <alignment vertical="top" wrapText="1" readingOrder="1"/>
    </xf>
    <xf numFmtId="3" fontId="12" fillId="0" borderId="3" xfId="0" applyNumberFormat="1" applyFont="1" applyBorder="1" applyAlignment="1">
      <alignment vertical="top" wrapText="1" readingOrder="1"/>
    </xf>
    <xf numFmtId="3" fontId="2" fillId="0" borderId="0" xfId="0" applyNumberFormat="1" applyFont="1" applyAlignment="1" applyProtection="1">
      <alignment horizontal="right" vertical="top" wrapText="1" readingOrder="1"/>
      <protection locked="0"/>
    </xf>
    <xf numFmtId="3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49" fontId="6" fillId="0" borderId="7" xfId="0" applyNumberFormat="1" applyFont="1" applyBorder="1" applyAlignment="1">
      <alignment horizontal="center" vertical="top" wrapText="1" readingOrder="1"/>
    </xf>
    <xf numFmtId="49" fontId="6" fillId="0" borderId="0" xfId="0" applyNumberFormat="1" applyFont="1" applyAlignment="1">
      <alignment horizontal="center" vertical="top" wrapText="1" readingOrder="1"/>
    </xf>
    <xf numFmtId="0" fontId="18" fillId="0" borderId="0" xfId="0" applyFont="1" applyAlignment="1">
      <alignment vertical="top" wrapText="1" readingOrder="1"/>
    </xf>
    <xf numFmtId="2" fontId="17" fillId="0" borderId="0" xfId="0" applyNumberFormat="1" applyFont="1" applyAlignment="1">
      <alignment vertical="top" wrapText="1" readingOrder="1"/>
    </xf>
    <xf numFmtId="3" fontId="17" fillId="0" borderId="3" xfId="0" applyNumberFormat="1" applyFont="1" applyBorder="1" applyAlignment="1">
      <alignment vertical="top" wrapText="1" readingOrder="1"/>
    </xf>
    <xf numFmtId="49" fontId="5" fillId="0" borderId="0" xfId="0" applyNumberFormat="1" applyFont="1" applyAlignment="1">
      <alignment horizontal="left" vertical="top" wrapText="1" readingOrder="1"/>
    </xf>
    <xf numFmtId="49" fontId="6" fillId="0" borderId="7" xfId="0" quotePrefix="1" applyNumberFormat="1" applyFont="1" applyBorder="1" applyAlignment="1">
      <alignment horizontal="center" vertical="top" wrapText="1" readingOrder="1"/>
    </xf>
    <xf numFmtId="2" fontId="20" fillId="0" borderId="0" xfId="0" applyNumberFormat="1" applyFont="1" applyAlignment="1">
      <alignment vertical="top" wrapText="1" readingOrder="1"/>
    </xf>
    <xf numFmtId="0" fontId="20" fillId="0" borderId="3" xfId="0" applyFont="1" applyBorder="1" applyAlignment="1">
      <alignment vertical="top" wrapText="1" readingOrder="1"/>
    </xf>
    <xf numFmtId="3" fontId="14" fillId="0" borderId="0" xfId="0" applyNumberFormat="1" applyFont="1" applyAlignment="1" applyProtection="1">
      <alignment horizontal="right" vertical="top" wrapText="1" readingOrder="1"/>
      <protection locked="0"/>
    </xf>
    <xf numFmtId="0" fontId="21" fillId="0" borderId="0" xfId="0" applyFont="1" applyAlignment="1" applyProtection="1">
      <alignment vertical="top" wrapText="1" readingOrder="1"/>
      <protection locked="0"/>
    </xf>
    <xf numFmtId="49" fontId="8" fillId="0" borderId="8" xfId="0" applyNumberFormat="1" applyFont="1" applyBorder="1" applyAlignment="1">
      <alignment horizontal="center" vertical="top" wrapText="1" readingOrder="1"/>
    </xf>
    <xf numFmtId="49" fontId="8" fillId="0" borderId="2" xfId="0" applyNumberFormat="1" applyFont="1" applyBorder="1" applyAlignment="1">
      <alignment horizontal="center" vertical="top" wrapText="1" readingOrder="1"/>
    </xf>
    <xf numFmtId="3" fontId="18" fillId="0" borderId="2" xfId="0" applyNumberFormat="1" applyFont="1" applyBorder="1" applyAlignment="1">
      <alignment vertical="top" wrapText="1" readingOrder="1"/>
    </xf>
    <xf numFmtId="2" fontId="17" fillId="0" borderId="2" xfId="0" applyNumberFormat="1" applyFont="1" applyBorder="1" applyAlignment="1">
      <alignment vertical="top" wrapText="1" readingOrder="1"/>
    </xf>
    <xf numFmtId="3" fontId="18" fillId="0" borderId="9" xfId="0" applyNumberFormat="1" applyFont="1" applyBorder="1" applyAlignment="1">
      <alignment vertical="top" wrapText="1" readingOrder="1"/>
    </xf>
    <xf numFmtId="3" fontId="2" fillId="0" borderId="2" xfId="0" applyNumberFormat="1" applyFont="1" applyBorder="1" applyAlignment="1" applyProtection="1">
      <alignment horizontal="right" vertical="top" wrapText="1" readingOrder="1"/>
      <protection locked="0"/>
    </xf>
    <xf numFmtId="49" fontId="8" fillId="0" borderId="9" xfId="0" applyNumberFormat="1" applyFont="1" applyBorder="1" applyAlignment="1">
      <alignment vertical="top" wrapText="1"/>
    </xf>
    <xf numFmtId="49" fontId="7" fillId="0" borderId="10" xfId="0" quotePrefix="1" applyNumberFormat="1" applyFont="1" applyBorder="1" applyAlignment="1">
      <alignment horizontal="center" vertical="top" wrapText="1"/>
    </xf>
    <xf numFmtId="49" fontId="7" fillId="0" borderId="11" xfId="0" quotePrefix="1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2" fontId="7" fillId="0" borderId="0" xfId="0" applyNumberFormat="1" applyFont="1" applyAlignment="1">
      <alignment vertical="top" wrapText="1"/>
    </xf>
    <xf numFmtId="49" fontId="18" fillId="0" borderId="8" xfId="0" applyNumberFormat="1" applyFont="1" applyBorder="1" applyAlignment="1">
      <alignment horizontal="left" vertical="top" readingOrder="1"/>
    </xf>
    <xf numFmtId="49" fontId="12" fillId="0" borderId="0" xfId="0" applyNumberFormat="1" applyFont="1" applyAlignment="1">
      <alignment vertical="top" wrapText="1" readingOrder="1"/>
    </xf>
    <xf numFmtId="49" fontId="20" fillId="0" borderId="0" xfId="0" applyNumberFormat="1" applyFont="1" applyAlignment="1">
      <alignment vertical="top" wrapText="1" readingOrder="1"/>
    </xf>
    <xf numFmtId="49" fontId="14" fillId="0" borderId="0" xfId="0" applyNumberFormat="1" applyFont="1" applyAlignment="1">
      <alignment vertical="top" wrapText="1" readingOrder="1"/>
    </xf>
    <xf numFmtId="49" fontId="23" fillId="0" borderId="0" xfId="0" applyNumberFormat="1" applyFont="1" applyAlignment="1">
      <alignment vertical="top" wrapText="1" readingOrder="1"/>
    </xf>
    <xf numFmtId="3" fontId="11" fillId="0" borderId="3" xfId="0" applyNumberFormat="1" applyFont="1" applyBorder="1" applyAlignment="1">
      <alignment vertical="top" wrapText="1" readingOrder="1"/>
    </xf>
    <xf numFmtId="3" fontId="8" fillId="0" borderId="3" xfId="0" applyNumberFormat="1" applyFont="1" applyBorder="1" applyAlignment="1">
      <alignment vertical="top" wrapText="1" readingOrder="1"/>
    </xf>
    <xf numFmtId="0" fontId="2" fillId="0" borderId="0" xfId="0" applyFont="1" applyAlignment="1" applyProtection="1">
      <alignment vertical="top" wrapText="1" readingOrder="1"/>
      <protection locked="0"/>
    </xf>
    <xf numFmtId="49" fontId="6" fillId="0" borderId="0" xfId="0" applyNumberFormat="1" applyFont="1" applyAlignment="1">
      <alignment vertical="top" wrapText="1" readingOrder="1"/>
    </xf>
    <xf numFmtId="49" fontId="2" fillId="0" borderId="0" xfId="0" applyNumberFormat="1" applyFont="1" applyAlignment="1">
      <alignment vertical="top" wrapText="1" readingOrder="1"/>
    </xf>
    <xf numFmtId="3" fontId="6" fillId="0" borderId="3" xfId="0" applyNumberFormat="1" applyFont="1" applyBorder="1" applyAlignment="1">
      <alignment vertical="top" wrapText="1" readingOrder="1"/>
    </xf>
    <xf numFmtId="0" fontId="14" fillId="0" borderId="0" xfId="0" applyFont="1" applyAlignment="1" applyProtection="1">
      <alignment vertical="top" wrapText="1" readingOrder="1"/>
      <protection locked="0"/>
    </xf>
    <xf numFmtId="0" fontId="2" fillId="0" borderId="0" xfId="0" applyFont="1" applyAlignment="1">
      <alignment vertical="top" wrapText="1" readingOrder="1"/>
    </xf>
    <xf numFmtId="49" fontId="11" fillId="2" borderId="12" xfId="0" quotePrefix="1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24" fillId="0" borderId="0" xfId="0" applyFont="1" applyAlignment="1" applyProtection="1">
      <alignment vertical="top" wrapText="1"/>
      <protection locked="0"/>
    </xf>
    <xf numFmtId="49" fontId="8" fillId="0" borderId="0" xfId="0" quotePrefix="1" applyNumberFormat="1" applyFont="1" applyAlignment="1">
      <alignment horizontal="center" vertical="top" wrapText="1"/>
    </xf>
    <xf numFmtId="49" fontId="8" fillId="2" borderId="0" xfId="0" applyNumberFormat="1" applyFont="1" applyFill="1" applyAlignment="1">
      <alignment horizontal="center" vertical="top" wrapText="1"/>
    </xf>
    <xf numFmtId="49" fontId="8" fillId="2" borderId="0" xfId="0" applyNumberFormat="1" applyFont="1" applyFill="1" applyAlignment="1">
      <alignment horizontal="left" vertical="top" wrapText="1"/>
    </xf>
    <xf numFmtId="49" fontId="8" fillId="0" borderId="7" xfId="0" quotePrefix="1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49" fontId="8" fillId="3" borderId="8" xfId="0" quotePrefix="1" applyNumberFormat="1" applyFont="1" applyFill="1" applyBorder="1" applyAlignment="1">
      <alignment horizontal="center" vertical="top" wrapText="1"/>
    </xf>
    <xf numFmtId="49" fontId="8" fillId="3" borderId="2" xfId="0" quotePrefix="1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8" fillId="3" borderId="9" xfId="0" applyNumberFormat="1" applyFont="1" applyFill="1" applyBorder="1" applyAlignment="1">
      <alignment vertical="top" wrapText="1"/>
    </xf>
    <xf numFmtId="2" fontId="8" fillId="2" borderId="0" xfId="0" applyNumberFormat="1" applyFont="1" applyFill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3" fontId="8" fillId="3" borderId="2" xfId="0" applyNumberFormat="1" applyFont="1" applyFill="1" applyBorder="1" applyAlignment="1">
      <alignment horizontal="right" vertical="top" wrapText="1"/>
    </xf>
    <xf numFmtId="2" fontId="11" fillId="0" borderId="0" xfId="0" applyNumberFormat="1" applyFont="1" applyAlignment="1">
      <alignment horizontal="right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2" borderId="7" xfId="0" applyNumberFormat="1" applyFont="1" applyFill="1" applyBorder="1" applyAlignment="1">
      <alignment horizontal="center" vertical="top" wrapText="1"/>
    </xf>
    <xf numFmtId="49" fontId="8" fillId="3" borderId="9" xfId="0" applyNumberFormat="1" applyFont="1" applyFill="1" applyBorder="1" applyAlignment="1">
      <alignment horizontal="left" vertical="top" wrapText="1"/>
    </xf>
    <xf numFmtId="2" fontId="8" fillId="2" borderId="5" xfId="0" applyNumberFormat="1" applyFont="1" applyFill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vertical="top" wrapText="1" readingOrder="1"/>
    </xf>
    <xf numFmtId="49" fontId="5" fillId="0" borderId="7" xfId="0" applyNumberFormat="1" applyFont="1" applyBorder="1" applyAlignment="1">
      <alignment horizontal="left" vertical="top" wrapText="1" readingOrder="1"/>
    </xf>
    <xf numFmtId="49" fontId="5" fillId="0" borderId="8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 readingOrder="1"/>
    </xf>
    <xf numFmtId="0" fontId="10" fillId="0" borderId="0" xfId="0" applyFont="1" applyAlignment="1">
      <alignment vertical="top" wrapText="1"/>
    </xf>
    <xf numFmtId="3" fontId="8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 readingOrder="1"/>
    </xf>
    <xf numFmtId="2" fontId="11" fillId="0" borderId="0" xfId="0" applyNumberFormat="1" applyFont="1" applyAlignment="1">
      <alignment vertical="top" wrapText="1" readingOrder="1"/>
    </xf>
    <xf numFmtId="49" fontId="8" fillId="0" borderId="0" xfId="0" quotePrefix="1" applyNumberFormat="1" applyFont="1" applyAlignment="1">
      <alignment horizontal="center" vertical="top" wrapText="1" readingOrder="1"/>
    </xf>
    <xf numFmtId="0" fontId="2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vertical="top" wrapText="1" readingOrder="1"/>
      <protection locked="0"/>
    </xf>
    <xf numFmtId="49" fontId="5" fillId="0" borderId="0" xfId="0" applyNumberFormat="1" applyFont="1" applyAlignment="1" applyProtection="1">
      <alignment horizontal="left" vertical="top" wrapText="1" readingOrder="1"/>
      <protection locked="0"/>
    </xf>
    <xf numFmtId="0" fontId="22" fillId="0" borderId="0" xfId="0" applyFont="1" applyAlignment="1" applyProtection="1">
      <alignment vertical="top" wrapText="1" readingOrder="1"/>
      <protection locked="0"/>
    </xf>
    <xf numFmtId="0" fontId="2" fillId="0" borderId="7" xfId="0" applyFont="1" applyBorder="1" applyAlignment="1" applyProtection="1">
      <alignment horizontal="center" vertical="top" wrapText="1" readingOrder="1"/>
      <protection locked="0"/>
    </xf>
    <xf numFmtId="49" fontId="2" fillId="0" borderId="0" xfId="0" applyNumberFormat="1" applyFont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vertical="top" wrapText="1" readingOrder="1"/>
      <protection locked="0"/>
    </xf>
    <xf numFmtId="0" fontId="8" fillId="0" borderId="0" xfId="0" applyFont="1" applyAlignment="1">
      <alignment horizontal="left" vertical="top" wrapText="1"/>
    </xf>
    <xf numFmtId="3" fontId="2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0" xfId="0" applyNumberFormat="1" applyFont="1" applyFill="1" applyAlignment="1" applyProtection="1">
      <alignment horizontal="right" vertical="top" wrapText="1" readingOrder="1"/>
      <protection locked="0"/>
    </xf>
    <xf numFmtId="3" fontId="2" fillId="3" borderId="2" xfId="0" applyNumberFormat="1" applyFont="1" applyFill="1" applyBorder="1" applyAlignment="1" applyProtection="1">
      <alignment horizontal="right" vertical="top" wrapText="1" readingOrder="1"/>
      <protection locked="0"/>
    </xf>
    <xf numFmtId="3" fontId="3" fillId="0" borderId="0" xfId="0" applyNumberFormat="1" applyFont="1" applyAlignment="1">
      <alignment vertical="top" wrapText="1"/>
    </xf>
    <xf numFmtId="3" fontId="2" fillId="0" borderId="14" xfId="0" applyNumberFormat="1" applyFont="1" applyBorder="1" applyAlignment="1" applyProtection="1">
      <alignment horizontal="right" vertical="top" wrapText="1" readingOrder="1"/>
      <protection locked="0"/>
    </xf>
    <xf numFmtId="49" fontId="5" fillId="0" borderId="2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right" vertical="top" wrapText="1"/>
    </xf>
    <xf numFmtId="3" fontId="7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9" fillId="0" borderId="0" xfId="0" applyNumberFormat="1" applyFont="1" applyAlignment="1">
      <alignment vertical="top" wrapText="1"/>
    </xf>
    <xf numFmtId="2" fontId="8" fillId="3" borderId="2" xfId="0" applyNumberFormat="1" applyFont="1" applyFill="1" applyBorder="1" applyAlignment="1">
      <alignment horizontal="right" vertical="top" wrapText="1"/>
    </xf>
    <xf numFmtId="2" fontId="12" fillId="0" borderId="0" xfId="0" applyNumberFormat="1" applyFont="1" applyAlignment="1">
      <alignment vertical="top" wrapText="1"/>
    </xf>
    <xf numFmtId="0" fontId="11" fillId="0" borderId="0" xfId="0" applyFont="1" applyAlignment="1">
      <alignment horizontal="justify" vertical="top" wrapText="1"/>
    </xf>
    <xf numFmtId="2" fontId="10" fillId="0" borderId="0" xfId="0" applyNumberFormat="1" applyFont="1" applyAlignment="1">
      <alignment horizontal="left" vertical="top" wrapText="1"/>
    </xf>
    <xf numFmtId="3" fontId="8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3" fontId="2" fillId="2" borderId="14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0" borderId="13" xfId="0" applyNumberFormat="1" applyFont="1" applyBorder="1" applyAlignment="1" applyProtection="1">
      <alignment horizontal="right" vertical="top" wrapText="1" readingOrder="1"/>
      <protection locked="0"/>
    </xf>
    <xf numFmtId="3" fontId="2" fillId="3" borderId="13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0" borderId="15" xfId="0" applyNumberFormat="1" applyFont="1" applyBorder="1" applyAlignment="1" applyProtection="1">
      <alignment horizontal="right" vertical="top" wrapText="1" readingOrder="1"/>
      <protection locked="0"/>
    </xf>
    <xf numFmtId="3" fontId="2" fillId="3" borderId="15" xfId="0" applyNumberFormat="1" applyFont="1" applyFill="1" applyBorder="1" applyAlignment="1" applyProtection="1">
      <alignment horizontal="right" vertical="top" wrapText="1" readingOrder="1"/>
      <protection locked="0"/>
    </xf>
    <xf numFmtId="3" fontId="26" fillId="0" borderId="0" xfId="0" applyNumberFormat="1" applyFont="1" applyAlignment="1" applyProtection="1">
      <alignment horizontal="right" vertical="top" wrapText="1" readingOrder="1"/>
      <protection locked="0"/>
    </xf>
    <xf numFmtId="0" fontId="7" fillId="0" borderId="7" xfId="0" applyFont="1" applyBorder="1" applyAlignment="1" applyProtection="1">
      <alignment vertical="top" wrapText="1" readingOrder="1"/>
      <protection locked="0"/>
    </xf>
    <xf numFmtId="0" fontId="7" fillId="0" borderId="7" xfId="0" applyFont="1" applyBorder="1" applyAlignment="1" applyProtection="1">
      <alignment vertical="top" wrapText="1"/>
      <protection locked="0"/>
    </xf>
    <xf numFmtId="0" fontId="21" fillId="0" borderId="7" xfId="0" applyFont="1" applyBorder="1" applyAlignment="1" applyProtection="1">
      <alignment vertical="top" wrapText="1" readingOrder="1"/>
      <protection locked="0"/>
    </xf>
    <xf numFmtId="3" fontId="21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7" fillId="0" borderId="9" xfId="0" applyNumberFormat="1" applyFont="1" applyBorder="1" applyAlignment="1" applyProtection="1">
      <alignment horizontal="right" vertical="top" wrapText="1" readingOrder="1"/>
      <protection locked="0"/>
    </xf>
    <xf numFmtId="3" fontId="7" fillId="2" borderId="4" xfId="0" applyNumberFormat="1" applyFont="1" applyFill="1" applyBorder="1" applyAlignment="1" applyProtection="1">
      <alignment horizontal="right" vertical="top" wrapText="1" readingOrder="1"/>
      <protection locked="0"/>
    </xf>
    <xf numFmtId="3" fontId="7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49" fontId="8" fillId="0" borderId="0" xfId="0" quotePrefix="1" applyNumberFormat="1" applyFont="1" applyAlignment="1">
      <alignment vertical="top" wrapText="1" readingOrder="1"/>
    </xf>
    <xf numFmtId="49" fontId="15" fillId="0" borderId="0" xfId="0" applyNumberFormat="1" applyFont="1" applyAlignment="1">
      <alignment vertical="top" wrapText="1" readingOrder="1"/>
    </xf>
    <xf numFmtId="49" fontId="17" fillId="0" borderId="0" xfId="0" applyNumberFormat="1" applyFont="1" applyAlignment="1">
      <alignment vertical="top" wrapText="1" readingOrder="1"/>
    </xf>
    <xf numFmtId="49" fontId="5" fillId="0" borderId="0" xfId="0" applyNumberFormat="1" applyFont="1" applyAlignment="1">
      <alignment vertical="top" wrapText="1" readingOrder="1"/>
    </xf>
    <xf numFmtId="49" fontId="4" fillId="0" borderId="0" xfId="0" applyNumberFormat="1" applyFont="1" applyAlignment="1">
      <alignment vertical="top" wrapText="1" readingOrder="1"/>
    </xf>
    <xf numFmtId="49" fontId="18" fillId="0" borderId="2" xfId="0" applyNumberFormat="1" applyFont="1" applyBorder="1" applyAlignment="1">
      <alignment vertical="top" wrapText="1" readingOrder="1"/>
    </xf>
    <xf numFmtId="49" fontId="5" fillId="0" borderId="2" xfId="0" applyNumberFormat="1" applyFont="1" applyBorder="1" applyAlignment="1">
      <alignment vertical="top" wrapText="1" readingOrder="1"/>
    </xf>
    <xf numFmtId="49" fontId="7" fillId="0" borderId="16" xfId="0" applyNumberFormat="1" applyFont="1" applyBorder="1" applyAlignment="1">
      <alignment vertical="top" wrapText="1" readingOrder="1"/>
    </xf>
    <xf numFmtId="0" fontId="18" fillId="0" borderId="2" xfId="0" applyFont="1" applyBorder="1" applyAlignment="1">
      <alignment vertical="top" wrapText="1" readingOrder="1"/>
    </xf>
    <xf numFmtId="49" fontId="11" fillId="0" borderId="0" xfId="0" applyNumberFormat="1" applyFont="1" applyAlignment="1">
      <alignment vertical="top" wrapText="1" readingOrder="1"/>
    </xf>
    <xf numFmtId="49" fontId="8" fillId="0" borderId="0" xfId="0" applyNumberFormat="1" applyFont="1" applyAlignment="1">
      <alignment vertical="top" wrapText="1" readingOrder="1"/>
    </xf>
    <xf numFmtId="49" fontId="5" fillId="2" borderId="5" xfId="0" applyNumberFormat="1" applyFont="1" applyFill="1" applyBorder="1" applyAlignment="1">
      <alignment vertical="top" wrapText="1" readingOrder="1"/>
    </xf>
    <xf numFmtId="49" fontId="8" fillId="2" borderId="0" xfId="0" applyNumberFormat="1" applyFont="1" applyFill="1" applyAlignment="1">
      <alignment vertical="top" wrapText="1" readingOrder="1"/>
    </xf>
    <xf numFmtId="49" fontId="8" fillId="3" borderId="2" xfId="0" applyNumberFormat="1" applyFont="1" applyFill="1" applyBorder="1" applyAlignment="1">
      <alignment vertical="top" wrapText="1" readingOrder="1"/>
    </xf>
    <xf numFmtId="49" fontId="8" fillId="0" borderId="11" xfId="0" applyNumberFormat="1" applyFont="1" applyBorder="1" applyAlignment="1">
      <alignment vertical="top" wrapText="1" readingOrder="1"/>
    </xf>
    <xf numFmtId="49" fontId="7" fillId="0" borderId="0" xfId="0" applyNumberFormat="1" applyFont="1" applyAlignment="1" applyProtection="1">
      <alignment vertical="top" wrapText="1" readingOrder="1"/>
      <protection locked="0"/>
    </xf>
    <xf numFmtId="3" fontId="2" fillId="0" borderId="0" xfId="0" applyNumberFormat="1" applyFont="1" applyAlignment="1">
      <alignment horizontal="right" vertical="top" wrapText="1"/>
    </xf>
    <xf numFmtId="3" fontId="21" fillId="0" borderId="0" xfId="0" applyNumberFormat="1" applyFont="1" applyAlignment="1">
      <alignment vertical="top" wrapText="1" readingOrder="1"/>
    </xf>
    <xf numFmtId="3" fontId="14" fillId="0" borderId="0" xfId="0" applyNumberFormat="1" applyFont="1" applyAlignment="1">
      <alignment vertical="top" wrapText="1" readingOrder="1"/>
    </xf>
    <xf numFmtId="3" fontId="2" fillId="2" borderId="5" xfId="0" applyNumberFormat="1" applyFont="1" applyFill="1" applyBorder="1" applyAlignment="1">
      <alignment horizontal="right" vertical="top" wrapText="1"/>
    </xf>
    <xf numFmtId="3" fontId="2" fillId="2" borderId="0" xfId="0" applyNumberFormat="1" applyFont="1" applyFill="1" applyAlignment="1">
      <alignment horizontal="right" vertical="top" wrapText="1"/>
    </xf>
    <xf numFmtId="3" fontId="2" fillId="3" borderId="2" xfId="0" applyNumberFormat="1" applyFont="1" applyFill="1" applyBorder="1" applyAlignment="1">
      <alignment horizontal="right" vertical="top" wrapText="1"/>
    </xf>
    <xf numFmtId="3" fontId="11" fillId="3" borderId="9" xfId="0" applyNumberFormat="1" applyFont="1" applyFill="1" applyBorder="1" applyAlignment="1" applyProtection="1">
      <alignment horizontal="right" vertical="top" wrapText="1" readingOrder="1"/>
      <protection locked="0"/>
    </xf>
    <xf numFmtId="3" fontId="8" fillId="0" borderId="0" xfId="0" applyNumberFormat="1" applyFont="1" applyAlignment="1">
      <alignment horizontal="right" vertical="top" wrapText="1"/>
    </xf>
    <xf numFmtId="3" fontId="11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vertical="top" wrapText="1"/>
    </xf>
    <xf numFmtId="2" fontId="18" fillId="0" borderId="2" xfId="0" applyNumberFormat="1" applyFont="1" applyBorder="1" applyAlignment="1">
      <alignment vertical="top" wrapText="1" readingOrder="1"/>
    </xf>
    <xf numFmtId="2" fontId="12" fillId="0" borderId="0" xfId="0" applyNumberFormat="1" applyFont="1" applyAlignment="1">
      <alignment vertical="top" wrapText="1" readingOrder="1"/>
    </xf>
    <xf numFmtId="2" fontId="8" fillId="0" borderId="0" xfId="0" applyNumberFormat="1" applyFont="1" applyAlignment="1">
      <alignment vertical="top" wrapText="1" readingOrder="1"/>
    </xf>
    <xf numFmtId="49" fontId="1" fillId="0" borderId="0" xfId="0" applyNumberFormat="1" applyFont="1" applyAlignment="1">
      <alignment vertical="top" wrapText="1" readingOrder="1"/>
    </xf>
    <xf numFmtId="49" fontId="1" fillId="0" borderId="7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0" xfId="0" quotePrefix="1" applyNumberFormat="1" applyFont="1" applyAlignment="1">
      <alignment vertical="top" wrapText="1" readingOrder="1"/>
    </xf>
    <xf numFmtId="2" fontId="1" fillId="0" borderId="0" xfId="0" applyNumberFormat="1" applyFont="1" applyAlignment="1">
      <alignment horizontal="right" vertical="top" wrapText="1"/>
    </xf>
    <xf numFmtId="3" fontId="1" fillId="0" borderId="3" xfId="0" applyNumberFormat="1" applyFont="1" applyBorder="1" applyAlignment="1">
      <alignment horizontal="left" vertical="top" wrapText="1"/>
    </xf>
    <xf numFmtId="3" fontId="1" fillId="0" borderId="0" xfId="0" applyNumberFormat="1" applyFont="1" applyAlignment="1" applyProtection="1">
      <alignment horizontal="right" vertical="top" wrapText="1" readingOrder="1"/>
      <protection locked="0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 applyProtection="1">
      <alignment wrapText="1"/>
      <protection locked="0"/>
    </xf>
    <xf numFmtId="49" fontId="1" fillId="0" borderId="0" xfId="0" applyNumberFormat="1" applyFont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27" fillId="0" borderId="0" xfId="0" applyFont="1" applyAlignment="1" applyProtection="1">
      <alignment vertical="top" wrapText="1"/>
      <protection locked="0"/>
    </xf>
    <xf numFmtId="49" fontId="29" fillId="0" borderId="0" xfId="0" applyNumberFormat="1" applyFont="1" applyAlignment="1">
      <alignment vertical="top" wrapText="1" readingOrder="1"/>
    </xf>
    <xf numFmtId="164" fontId="16" fillId="0" borderId="0" xfId="0" applyNumberFormat="1" applyFont="1" applyAlignment="1">
      <alignment vertical="top" wrapText="1" readingOrder="1"/>
    </xf>
    <xf numFmtId="3" fontId="30" fillId="0" borderId="0" xfId="0" applyNumberFormat="1" applyFont="1" applyAlignment="1">
      <alignment vertical="top" wrapText="1" readingOrder="1"/>
    </xf>
    <xf numFmtId="0" fontId="31" fillId="0" borderId="0" xfId="0" applyFont="1" applyAlignment="1" applyProtection="1">
      <alignment horizontal="left" vertical="top" wrapText="1" readingOrder="1"/>
      <protection locked="0"/>
    </xf>
    <xf numFmtId="3" fontId="9" fillId="0" borderId="0" xfId="1" applyNumberFormat="1" applyFont="1" applyAlignment="1">
      <alignment vertical="top" wrapText="1"/>
    </xf>
    <xf numFmtId="2" fontId="34" fillId="0" borderId="0" xfId="0" applyNumberFormat="1" applyFont="1" applyAlignment="1">
      <alignment horizontal="left" vertical="top" wrapText="1"/>
    </xf>
    <xf numFmtId="2" fontId="2" fillId="0" borderId="0" xfId="0" quotePrefix="1" applyNumberFormat="1" applyFont="1" applyAlignment="1">
      <alignment vertical="top" wrapText="1"/>
    </xf>
    <xf numFmtId="4" fontId="21" fillId="0" borderId="0" xfId="0" applyNumberFormat="1" applyFont="1" applyAlignment="1" applyProtection="1">
      <alignment horizontal="right" vertical="top" wrapText="1"/>
      <protection locked="0"/>
    </xf>
    <xf numFmtId="3" fontId="2" fillId="3" borderId="17" xfId="0" applyNumberFormat="1" applyFont="1" applyFill="1" applyBorder="1" applyAlignment="1" applyProtection="1">
      <alignment horizontal="right" vertical="top" wrapText="1" readingOrder="1"/>
      <protection locked="0"/>
    </xf>
    <xf numFmtId="49" fontId="33" fillId="0" borderId="0" xfId="0" applyNumberFormat="1" applyFont="1" applyAlignment="1">
      <alignment vertical="top" wrapText="1" readingOrder="1"/>
    </xf>
    <xf numFmtId="3" fontId="1" fillId="0" borderId="1" xfId="0" applyNumberFormat="1" applyFont="1" applyBorder="1" applyAlignment="1" applyProtection="1">
      <alignment horizontal="center" vertical="top" wrapText="1" readingOrder="1"/>
      <protection locked="0"/>
    </xf>
    <xf numFmtId="49" fontId="2" fillId="0" borderId="1" xfId="0" applyNumberFormat="1" applyFont="1" applyBorder="1" applyAlignment="1">
      <alignment horizontal="left" vertical="top" wrapText="1" readingOrder="1"/>
    </xf>
    <xf numFmtId="4" fontId="1" fillId="0" borderId="1" xfId="0" applyNumberFormat="1" applyFont="1" applyBorder="1" applyAlignment="1">
      <alignment horizontal="center" vertical="top" wrapText="1" readingOrder="1"/>
    </xf>
    <xf numFmtId="3" fontId="2" fillId="0" borderId="6" xfId="0" applyNumberFormat="1" applyFont="1" applyBorder="1" applyAlignment="1">
      <alignment horizontal="center" vertical="top" wrapText="1" readingOrder="1"/>
    </xf>
    <xf numFmtId="3" fontId="2" fillId="0" borderId="6" xfId="0" applyNumberFormat="1" applyFont="1" applyBorder="1" applyAlignment="1" applyProtection="1">
      <alignment horizontal="center" vertical="top" wrapText="1" readingOrder="1"/>
      <protection locked="0"/>
    </xf>
    <xf numFmtId="3" fontId="1" fillId="0" borderId="6" xfId="0" applyNumberFormat="1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vertical="top" readingOrder="1"/>
      <protection locked="0"/>
    </xf>
    <xf numFmtId="49" fontId="1" fillId="0" borderId="0" xfId="0" applyNumberFormat="1" applyFont="1" applyAlignment="1" applyProtection="1">
      <alignment horizontal="left" vertical="top" wrapText="1" readingOrder="1"/>
      <protection locked="0"/>
    </xf>
    <xf numFmtId="0" fontId="37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vertical="top" wrapText="1"/>
      <protection locked="0"/>
    </xf>
    <xf numFmtId="3" fontId="35" fillId="0" borderId="0" xfId="0" applyNumberFormat="1" applyFont="1" applyAlignment="1">
      <alignment vertical="top" wrapText="1"/>
    </xf>
    <xf numFmtId="3" fontId="38" fillId="0" borderId="0" xfId="0" applyNumberFormat="1" applyFont="1" applyAlignment="1">
      <alignment vertical="top" wrapText="1"/>
    </xf>
    <xf numFmtId="3" fontId="38" fillId="0" borderId="0" xfId="0" quotePrefix="1" applyNumberFormat="1" applyFont="1" applyAlignment="1">
      <alignment vertical="top" wrapText="1"/>
    </xf>
    <xf numFmtId="4" fontId="8" fillId="0" borderId="0" xfId="0" applyNumberFormat="1" applyFont="1" applyAlignment="1">
      <alignment horizontal="left" vertical="top" wrapText="1"/>
    </xf>
    <xf numFmtId="3" fontId="0" fillId="0" borderId="3" xfId="0" applyNumberFormat="1" applyBorder="1" applyAlignment="1" applyProtection="1">
      <alignment horizontal="right" vertical="top" wrapText="1" readingOrder="1"/>
      <protection locked="0"/>
    </xf>
    <xf numFmtId="49" fontId="8" fillId="0" borderId="7" xfId="1" quotePrefix="1" applyNumberFormat="1" applyFont="1" applyBorder="1" applyAlignment="1">
      <alignment horizontal="center" vertical="top" wrapText="1"/>
    </xf>
    <xf numFmtId="49" fontId="8" fillId="0" borderId="0" xfId="1" quotePrefix="1" applyNumberFormat="1" applyFont="1" applyAlignment="1">
      <alignment horizontal="center" vertical="top" wrapText="1"/>
    </xf>
    <xf numFmtId="49" fontId="8" fillId="0" borderId="0" xfId="1" applyNumberFormat="1" applyFont="1" applyAlignment="1">
      <alignment vertical="top" wrapText="1" readingOrder="1"/>
    </xf>
    <xf numFmtId="3" fontId="8" fillId="0" borderId="0" xfId="1" applyNumberFormat="1" applyFont="1" applyAlignment="1">
      <alignment vertical="top" wrapText="1"/>
    </xf>
    <xf numFmtId="2" fontId="8" fillId="0" borderId="0" xfId="1" applyNumberFormat="1" applyFont="1" applyAlignment="1">
      <alignment horizontal="right" vertical="top" wrapText="1"/>
    </xf>
    <xf numFmtId="3" fontId="8" fillId="0" borderId="3" xfId="1" applyNumberFormat="1" applyFont="1" applyBorder="1" applyAlignment="1">
      <alignment horizontal="left" vertical="top" wrapText="1"/>
    </xf>
    <xf numFmtId="3" fontId="1" fillId="0" borderId="0" xfId="0" applyNumberFormat="1" applyFont="1" applyAlignment="1">
      <alignment horizontal="right" vertical="top" wrapText="1" readingOrder="1"/>
    </xf>
    <xf numFmtId="0" fontId="0" fillId="0" borderId="0" xfId="0" applyAlignment="1" applyProtection="1">
      <alignment wrapText="1"/>
      <protection locked="0"/>
    </xf>
    <xf numFmtId="49" fontId="8" fillId="0" borderId="7" xfId="1" applyNumberFormat="1" applyFont="1" applyBorder="1" applyAlignment="1">
      <alignment horizontal="center" vertical="top" wrapText="1"/>
    </xf>
    <xf numFmtId="49" fontId="8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vertical="top" wrapText="1"/>
    </xf>
    <xf numFmtId="2" fontId="2" fillId="0" borderId="0" xfId="1" applyNumberFormat="1" applyFont="1" applyAlignment="1">
      <alignment vertical="top" wrapText="1"/>
    </xf>
    <xf numFmtId="49" fontId="8" fillId="0" borderId="7" xfId="1" applyNumberFormat="1" applyFont="1" applyBorder="1" applyAlignment="1">
      <alignment horizontal="center" vertical="top" wrapText="1" readingOrder="1"/>
    </xf>
    <xf numFmtId="49" fontId="8" fillId="0" borderId="0" xfId="1" quotePrefix="1" applyNumberFormat="1" applyFont="1" applyAlignment="1">
      <alignment horizontal="center" vertical="top" wrapText="1" readingOrder="1"/>
    </xf>
    <xf numFmtId="3" fontId="8" fillId="0" borderId="3" xfId="1" applyNumberFormat="1" applyFont="1" applyBorder="1" applyAlignment="1">
      <alignment vertical="top" wrapText="1"/>
    </xf>
    <xf numFmtId="49" fontId="8" fillId="0" borderId="0" xfId="1" applyNumberFormat="1" applyFont="1" applyAlignment="1">
      <alignment horizontal="center" vertical="top" wrapText="1" readingOrder="1"/>
    </xf>
    <xf numFmtId="3" fontId="2" fillId="0" borderId="0" xfId="1" applyNumberFormat="1" applyFont="1" applyAlignment="1">
      <alignment vertical="top" wrapText="1"/>
    </xf>
    <xf numFmtId="49" fontId="3" fillId="0" borderId="18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vertical="top" wrapText="1" readingOrder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top" wrapText="1"/>
    </xf>
    <xf numFmtId="3" fontId="3" fillId="0" borderId="19" xfId="0" applyNumberFormat="1" applyFont="1" applyBorder="1" applyAlignment="1">
      <alignment horizontal="left" vertical="top" wrapText="1"/>
    </xf>
    <xf numFmtId="0" fontId="0" fillId="0" borderId="0" xfId="0" applyAlignment="1" applyProtection="1">
      <alignment vertical="top" wrapText="1"/>
      <protection locked="0"/>
    </xf>
    <xf numFmtId="49" fontId="39" fillId="0" borderId="18" xfId="0" applyNumberFormat="1" applyFont="1" applyBorder="1" applyAlignment="1">
      <alignment horizontal="center" vertical="top" wrapText="1"/>
    </xf>
    <xf numFmtId="49" fontId="39" fillId="0" borderId="0" xfId="0" applyNumberFormat="1" applyFont="1" applyAlignment="1">
      <alignment horizontal="center" vertical="top" wrapText="1"/>
    </xf>
    <xf numFmtId="49" fontId="39" fillId="0" borderId="0" xfId="0" applyNumberFormat="1" applyFont="1" applyAlignment="1">
      <alignment vertical="top" wrapText="1" readingOrder="1"/>
    </xf>
    <xf numFmtId="2" fontId="2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left" vertical="top" wrapText="1"/>
    </xf>
    <xf numFmtId="49" fontId="8" fillId="0" borderId="7" xfId="1" quotePrefix="1" applyNumberFormat="1" applyFont="1" applyBorder="1" applyAlignment="1">
      <alignment horizontal="center" vertical="top" wrapText="1" readingOrder="1"/>
    </xf>
    <xf numFmtId="3" fontId="8" fillId="0" borderId="0" xfId="1" applyNumberFormat="1" applyFont="1" applyAlignment="1">
      <alignment vertical="top" wrapText="1" readingOrder="1"/>
    </xf>
    <xf numFmtId="2" fontId="3" fillId="0" borderId="0" xfId="1" applyNumberFormat="1" applyFont="1" applyAlignment="1">
      <alignment horizontal="right" vertical="top" wrapText="1" readingOrder="1"/>
    </xf>
    <xf numFmtId="3" fontId="8" fillId="0" borderId="3" xfId="1" applyNumberFormat="1" applyFont="1" applyBorder="1" applyAlignment="1">
      <alignment horizontal="left" vertical="top" wrapText="1" readingOrder="1"/>
    </xf>
    <xf numFmtId="3" fontId="1" fillId="0" borderId="3" xfId="0" applyNumberFormat="1" applyFont="1" applyBorder="1" applyAlignment="1" applyProtection="1">
      <alignment horizontal="right" vertical="top" wrapText="1" readingOrder="1"/>
      <protection locked="0"/>
    </xf>
    <xf numFmtId="2" fontId="2" fillId="0" borderId="0" xfId="1" applyNumberFormat="1" applyFont="1" applyAlignment="1">
      <alignment vertical="top" wrapText="1" readingOrder="1"/>
    </xf>
    <xf numFmtId="3" fontId="2" fillId="0" borderId="0" xfId="1" applyNumberFormat="1" applyFont="1" applyAlignment="1" applyProtection="1">
      <alignment horizontal="right" vertical="top" wrapText="1" readingOrder="1"/>
      <protection locked="0"/>
    </xf>
    <xf numFmtId="3" fontId="2" fillId="0" borderId="0" xfId="1" applyNumberFormat="1" applyFont="1" applyAlignment="1">
      <alignment horizontal="right" vertical="top" wrapText="1" readingOrder="1"/>
    </xf>
    <xf numFmtId="3" fontId="10" fillId="0" borderId="0" xfId="0" applyNumberFormat="1" applyFont="1" applyAlignment="1" applyProtection="1">
      <alignment vertical="top" readingOrder="1"/>
      <protection locked="0"/>
    </xf>
    <xf numFmtId="3" fontId="10" fillId="0" borderId="3" xfId="0" applyNumberFormat="1" applyFont="1" applyBorder="1" applyAlignment="1" applyProtection="1">
      <alignment horizontal="right" vertical="top" readingOrder="1"/>
      <protection locked="0"/>
    </xf>
    <xf numFmtId="0" fontId="2" fillId="0" borderId="0" xfId="1" applyFont="1" applyAlignment="1">
      <alignment vertical="top" wrapText="1" readingOrder="1"/>
    </xf>
    <xf numFmtId="3" fontId="40" fillId="0" borderId="3" xfId="0" applyNumberFormat="1" applyFont="1" applyBorder="1" applyAlignment="1" applyProtection="1">
      <alignment horizontal="right" vertical="top" readingOrder="1"/>
      <protection locked="0"/>
    </xf>
    <xf numFmtId="49" fontId="42" fillId="0" borderId="0" xfId="0" applyNumberFormat="1" applyFont="1" applyAlignment="1">
      <alignment vertical="top" readingOrder="1"/>
    </xf>
    <xf numFmtId="0" fontId="39" fillId="0" borderId="20" xfId="0" applyFont="1" applyBorder="1" applyAlignment="1">
      <alignment horizontal="right"/>
    </xf>
    <xf numFmtId="0" fontId="13" fillId="0" borderId="21" xfId="0" applyFont="1" applyBorder="1" applyAlignment="1" applyProtection="1">
      <alignment vertical="top" readingOrder="1"/>
      <protection locked="0"/>
    </xf>
    <xf numFmtId="0" fontId="27" fillId="0" borderId="20" xfId="0" applyFont="1" applyBorder="1" applyAlignment="1">
      <alignment horizontal="right"/>
    </xf>
    <xf numFmtId="0" fontId="13" fillId="0" borderId="21" xfId="0" applyFont="1" applyBorder="1" applyAlignment="1" applyProtection="1">
      <alignment vertical="top" wrapText="1" readingOrder="1"/>
      <protection locked="0"/>
    </xf>
    <xf numFmtId="0" fontId="19" fillId="0" borderId="21" xfId="0" applyFont="1" applyBorder="1" applyAlignment="1" applyProtection="1">
      <alignment vertical="top" wrapText="1" readingOrder="1"/>
      <protection locked="0"/>
    </xf>
    <xf numFmtId="0" fontId="19" fillId="0" borderId="20" xfId="0" applyFont="1" applyBorder="1" applyAlignment="1" applyProtection="1">
      <alignment vertical="top" wrapText="1" readingOrder="1"/>
      <protection locked="0"/>
    </xf>
  </cellXfs>
  <cellStyles count="5">
    <cellStyle name="Normál" xfId="0" builtinId="0"/>
    <cellStyle name="Normál 7" xfId="4" xr:uid="{00000000-0005-0000-0000-000001000000}"/>
    <cellStyle name="Normál_SICK ÜZEMÉPÜLET BŐVÍTÉS" xfId="1" xr:uid="{00000000-0005-0000-0000-000002000000}"/>
    <cellStyle name="Standard_Munka12" xfId="2" xr:uid="{00000000-0005-0000-0000-000003000000}"/>
    <cellStyle name="Stílus 1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02"/>
  <sheetViews>
    <sheetView tabSelected="1" zoomScale="145" zoomScaleNormal="145" zoomScaleSheetLayoutView="142" workbookViewId="0">
      <selection activeCell="M6" sqref="M6"/>
    </sheetView>
  </sheetViews>
  <sheetFormatPr defaultRowHeight="12.75" x14ac:dyDescent="0.2"/>
  <cols>
    <col min="1" max="1" width="3.7109375" style="108" customWidth="1"/>
    <col min="2" max="2" width="6.7109375" style="109" customWidth="1"/>
    <col min="3" max="3" width="9.7109375" style="155" customWidth="1"/>
    <col min="4" max="4" width="52.5703125" style="18" customWidth="1"/>
    <col min="5" max="5" width="11.140625" style="46" customWidth="1"/>
    <col min="6" max="6" width="7.42578125" style="110" bestFit="1" customWidth="1"/>
    <col min="7" max="7" width="8.42578125" style="34" customWidth="1"/>
    <col min="8" max="8" width="9.28515625" style="132" customWidth="1"/>
    <col min="9" max="9" width="9.28515625" style="34" customWidth="1"/>
    <col min="10" max="10" width="11.42578125" style="35" customWidth="1"/>
    <col min="11" max="11" width="9.140625" style="18"/>
    <col min="12" max="12" width="12" style="198" customWidth="1"/>
    <col min="13" max="13" width="14" style="198" customWidth="1"/>
    <col min="14" max="16384" width="9.140625" style="18"/>
  </cols>
  <sheetData>
    <row r="1" spans="1:31" ht="34.5" thickBot="1" x14ac:dyDescent="0.25">
      <c r="A1" s="192" t="s">
        <v>102</v>
      </c>
      <c r="B1" s="192" t="s">
        <v>103</v>
      </c>
      <c r="C1" s="193" t="s">
        <v>0</v>
      </c>
      <c r="D1" s="194" t="s">
        <v>95</v>
      </c>
      <c r="E1" s="194" t="s">
        <v>1</v>
      </c>
      <c r="F1" s="195" t="s">
        <v>2</v>
      </c>
      <c r="G1" s="196" t="s">
        <v>3</v>
      </c>
      <c r="H1" s="192" t="s">
        <v>89</v>
      </c>
      <c r="I1" s="192" t="s">
        <v>4</v>
      </c>
      <c r="J1" s="197" t="s">
        <v>5</v>
      </c>
    </row>
    <row r="2" spans="1:31" ht="15" x14ac:dyDescent="0.2">
      <c r="A2" s="19"/>
      <c r="B2" s="20"/>
      <c r="C2" s="67"/>
      <c r="D2" s="21"/>
      <c r="E2" s="22"/>
      <c r="F2" s="16"/>
      <c r="H2" s="34"/>
      <c r="J2" s="119"/>
      <c r="K2" s="17"/>
    </row>
    <row r="3" spans="1:31" s="28" customFormat="1" ht="18" x14ac:dyDescent="0.2">
      <c r="A3" s="23"/>
      <c r="B3" s="24"/>
      <c r="C3" s="249" t="s">
        <v>105</v>
      </c>
      <c r="D3" s="249" t="s">
        <v>285</v>
      </c>
      <c r="E3" s="25"/>
      <c r="F3" s="26"/>
      <c r="G3" s="27"/>
      <c r="H3" s="27"/>
      <c r="I3" s="27"/>
      <c r="J3" s="250" t="s">
        <v>289</v>
      </c>
      <c r="K3" s="251"/>
      <c r="L3" s="199"/>
      <c r="M3" s="199"/>
    </row>
    <row r="4" spans="1:31" s="17" customFormat="1" ht="18" x14ac:dyDescent="0.2">
      <c r="A4" s="29"/>
      <c r="B4" s="30"/>
      <c r="C4" s="141"/>
      <c r="D4" s="31"/>
      <c r="E4" s="32"/>
      <c r="F4" s="33"/>
      <c r="G4" s="34"/>
      <c r="H4" s="34"/>
      <c r="I4" s="34"/>
      <c r="J4" s="252" t="s">
        <v>291</v>
      </c>
      <c r="K4" s="253"/>
      <c r="L4" s="199"/>
      <c r="M4" s="198"/>
    </row>
    <row r="5" spans="1:31" s="105" customFormat="1" ht="16.5" x14ac:dyDescent="0.2">
      <c r="A5" s="36"/>
      <c r="B5" s="37"/>
      <c r="C5" s="142"/>
      <c r="D5" s="38" t="s">
        <v>6</v>
      </c>
      <c r="E5" s="39"/>
      <c r="F5" s="40"/>
      <c r="G5" s="34"/>
      <c r="H5" s="34"/>
      <c r="I5" s="34"/>
      <c r="J5" s="252" t="s">
        <v>290</v>
      </c>
      <c r="K5" s="254"/>
      <c r="L5" s="199"/>
      <c r="M5" s="198"/>
    </row>
    <row r="6" spans="1:31" s="105" customFormat="1" ht="16.5" x14ac:dyDescent="0.2">
      <c r="A6" s="36"/>
      <c r="B6" s="37"/>
      <c r="C6" s="142"/>
      <c r="D6" s="38"/>
      <c r="E6" s="39"/>
      <c r="F6" s="40"/>
      <c r="G6" s="34"/>
      <c r="H6" s="39"/>
      <c r="I6" s="34"/>
      <c r="J6" s="255"/>
      <c r="K6" s="254"/>
      <c r="L6" s="199"/>
      <c r="M6" s="198"/>
    </row>
    <row r="7" spans="1:31" s="106" customFormat="1" ht="15.75" x14ac:dyDescent="0.2">
      <c r="A7" s="96"/>
      <c r="B7" s="41"/>
      <c r="C7" s="59"/>
      <c r="D7" s="98" t="s">
        <v>7</v>
      </c>
      <c r="E7" s="41"/>
      <c r="F7" s="95"/>
      <c r="G7" s="34"/>
      <c r="H7" s="41"/>
      <c r="I7" s="34"/>
      <c r="J7" s="119"/>
      <c r="L7" s="199"/>
      <c r="M7" s="200"/>
    </row>
    <row r="8" spans="1:31" s="106" customFormat="1" ht="15" x14ac:dyDescent="0.2">
      <c r="A8" s="96" t="s">
        <v>8</v>
      </c>
      <c r="B8" s="41"/>
      <c r="C8" s="143" t="s">
        <v>102</v>
      </c>
      <c r="D8" s="41" t="s">
        <v>10</v>
      </c>
      <c r="E8" s="41"/>
      <c r="F8" s="95"/>
      <c r="G8" s="34"/>
      <c r="H8" s="41"/>
      <c r="I8" s="34"/>
      <c r="J8" s="119"/>
      <c r="L8" s="200"/>
      <c r="M8" s="200"/>
    </row>
    <row r="9" spans="1:31" s="46" customFormat="1" ht="15.75" thickBot="1" x14ac:dyDescent="0.25">
      <c r="A9" s="42"/>
      <c r="B9" s="37"/>
      <c r="C9" s="144"/>
      <c r="D9" s="1"/>
      <c r="E9" s="102"/>
      <c r="F9" s="44"/>
      <c r="G9" s="34"/>
      <c r="H9" s="43"/>
      <c r="I9" s="34"/>
      <c r="J9" s="119"/>
      <c r="L9" s="201"/>
      <c r="M9" s="201"/>
    </row>
    <row r="10" spans="1:31" s="105" customFormat="1" ht="17.25" thickBot="1" x14ac:dyDescent="0.25">
      <c r="A10" s="47"/>
      <c r="B10" s="48"/>
      <c r="C10" s="145" t="s">
        <v>105</v>
      </c>
      <c r="D10" s="49" t="s">
        <v>65</v>
      </c>
      <c r="E10" s="167"/>
      <c r="F10" s="51"/>
      <c r="G10" s="52"/>
      <c r="H10" s="50"/>
      <c r="I10" s="52"/>
      <c r="J10" s="137">
        <f>J22</f>
        <v>0</v>
      </c>
      <c r="L10" s="198"/>
      <c r="M10" s="198"/>
    </row>
    <row r="11" spans="1:31" s="107" customFormat="1" ht="21" thickBot="1" x14ac:dyDescent="0.25">
      <c r="A11" s="36"/>
      <c r="B11" s="37"/>
      <c r="C11" s="60"/>
      <c r="D11" s="101"/>
      <c r="E11" s="102"/>
      <c r="F11" s="44"/>
      <c r="G11" s="34"/>
      <c r="H11" s="102"/>
      <c r="I11" s="34"/>
      <c r="J11" s="119"/>
      <c r="K11" s="133"/>
      <c r="L11" s="198"/>
      <c r="M11" s="19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31" s="15" customFormat="1" ht="15.75" thickBot="1" x14ac:dyDescent="0.25">
      <c r="A12" s="97" t="s">
        <v>8</v>
      </c>
      <c r="B12" s="117"/>
      <c r="C12" s="146" t="s">
        <v>102</v>
      </c>
      <c r="D12" s="2" t="s">
        <v>10</v>
      </c>
      <c r="E12" s="118"/>
      <c r="F12" s="53"/>
      <c r="G12" s="52"/>
      <c r="H12" s="118"/>
      <c r="I12" s="52"/>
      <c r="J12" s="137"/>
      <c r="K12" s="134"/>
      <c r="L12" s="202"/>
      <c r="M12" s="202"/>
    </row>
    <row r="13" spans="1:31" s="13" customFormat="1" x14ac:dyDescent="0.2">
      <c r="A13" s="54" t="s">
        <v>8</v>
      </c>
      <c r="B13" s="55" t="s">
        <v>8</v>
      </c>
      <c r="C13" s="147" t="s">
        <v>103</v>
      </c>
      <c r="D13" s="57" t="s">
        <v>106</v>
      </c>
      <c r="E13" s="12"/>
      <c r="F13" s="9"/>
      <c r="G13" s="34"/>
      <c r="H13" s="156"/>
      <c r="I13" s="34"/>
      <c r="J13" s="119">
        <f>J72</f>
        <v>0</v>
      </c>
      <c r="L13" s="178"/>
      <c r="M13" s="178"/>
    </row>
    <row r="14" spans="1:31" s="15" customFormat="1" x14ac:dyDescent="0.2">
      <c r="A14" s="54" t="s">
        <v>8</v>
      </c>
      <c r="B14" s="55" t="s">
        <v>9</v>
      </c>
      <c r="C14" s="147" t="s">
        <v>103</v>
      </c>
      <c r="D14" s="57" t="s">
        <v>107</v>
      </c>
      <c r="E14" s="4"/>
      <c r="F14" s="56"/>
      <c r="G14" s="34"/>
      <c r="H14" s="156"/>
      <c r="I14" s="34"/>
      <c r="J14" s="119">
        <f>J129</f>
        <v>0</v>
      </c>
      <c r="L14" s="202"/>
      <c r="M14" s="202"/>
    </row>
    <row r="15" spans="1:31" s="15" customFormat="1" x14ac:dyDescent="0.2">
      <c r="A15" s="54" t="s">
        <v>8</v>
      </c>
      <c r="B15" s="55" t="s">
        <v>11</v>
      </c>
      <c r="C15" s="147" t="s">
        <v>103</v>
      </c>
      <c r="D15" s="57" t="s">
        <v>30</v>
      </c>
      <c r="E15" s="4"/>
      <c r="F15" s="56"/>
      <c r="G15" s="34"/>
      <c r="H15" s="156"/>
      <c r="I15" s="34"/>
      <c r="J15" s="119">
        <f>J165</f>
        <v>0</v>
      </c>
      <c r="L15" s="202"/>
      <c r="M15" s="202"/>
    </row>
    <row r="16" spans="1:31" s="13" customFormat="1" x14ac:dyDescent="0.2">
      <c r="A16" s="54" t="s">
        <v>8</v>
      </c>
      <c r="B16" s="55" t="s">
        <v>12</v>
      </c>
      <c r="C16" s="147" t="s">
        <v>103</v>
      </c>
      <c r="D16" s="57" t="s">
        <v>108</v>
      </c>
      <c r="E16" s="12"/>
      <c r="F16" s="9"/>
      <c r="G16" s="34"/>
      <c r="H16" s="156"/>
      <c r="I16" s="34"/>
      <c r="J16" s="119">
        <f>J195</f>
        <v>0</v>
      </c>
      <c r="L16" s="178"/>
      <c r="M16" s="178"/>
    </row>
    <row r="17" spans="1:13" s="13" customFormat="1" x14ac:dyDescent="0.2">
      <c r="A17" s="54" t="s">
        <v>8</v>
      </c>
      <c r="B17" s="55" t="s">
        <v>13</v>
      </c>
      <c r="C17" s="147" t="s">
        <v>103</v>
      </c>
      <c r="D17" s="57" t="s">
        <v>109</v>
      </c>
      <c r="E17" s="12"/>
      <c r="F17" s="9"/>
      <c r="G17" s="34"/>
      <c r="H17" s="156"/>
      <c r="I17" s="34"/>
      <c r="J17" s="119">
        <f>J221</f>
        <v>0</v>
      </c>
      <c r="L17" s="178"/>
      <c r="M17" s="178"/>
    </row>
    <row r="18" spans="1:13" s="13" customFormat="1" x14ac:dyDescent="0.2">
      <c r="A18" s="54" t="s">
        <v>8</v>
      </c>
      <c r="B18" s="55" t="s">
        <v>14</v>
      </c>
      <c r="C18" s="147" t="s">
        <v>103</v>
      </c>
      <c r="D18" s="57" t="s">
        <v>111</v>
      </c>
      <c r="E18" s="12"/>
      <c r="F18" s="9"/>
      <c r="G18" s="34"/>
      <c r="H18" s="156"/>
      <c r="I18" s="34"/>
      <c r="J18" s="119">
        <f>J247</f>
        <v>0</v>
      </c>
      <c r="L18" s="178"/>
      <c r="M18" s="178"/>
    </row>
    <row r="19" spans="1:13" s="13" customFormat="1" x14ac:dyDescent="0.2">
      <c r="A19" s="54" t="s">
        <v>8</v>
      </c>
      <c r="B19" s="55" t="s">
        <v>15</v>
      </c>
      <c r="C19" s="147" t="s">
        <v>103</v>
      </c>
      <c r="D19" s="57" t="s">
        <v>110</v>
      </c>
      <c r="E19" s="12"/>
      <c r="F19" s="9"/>
      <c r="G19" s="34"/>
      <c r="H19" s="156"/>
      <c r="I19" s="34"/>
      <c r="J19" s="119">
        <f>J272</f>
        <v>0</v>
      </c>
      <c r="L19" s="178"/>
      <c r="M19" s="178"/>
    </row>
    <row r="20" spans="1:13" s="13" customFormat="1" x14ac:dyDescent="0.2">
      <c r="A20" s="54" t="s">
        <v>8</v>
      </c>
      <c r="B20" s="55" t="s">
        <v>16</v>
      </c>
      <c r="C20" s="147" t="s">
        <v>103</v>
      </c>
      <c r="D20" s="57" t="s">
        <v>170</v>
      </c>
      <c r="E20" s="12"/>
      <c r="F20" s="9"/>
      <c r="G20" s="34"/>
      <c r="H20" s="156"/>
      <c r="I20" s="34"/>
      <c r="J20" s="119">
        <f>J301</f>
        <v>0</v>
      </c>
      <c r="L20" s="178"/>
      <c r="M20" s="178"/>
    </row>
    <row r="21" spans="1:13" s="46" customFormat="1" ht="15.75" thickBot="1" x14ac:dyDescent="0.25">
      <c r="A21" s="42"/>
      <c r="B21" s="37"/>
      <c r="C21" s="144"/>
      <c r="D21" s="5"/>
      <c r="E21" s="102"/>
      <c r="F21" s="44"/>
      <c r="G21" s="45"/>
      <c r="H21" s="43"/>
      <c r="I21" s="45"/>
      <c r="J21" s="136"/>
      <c r="K21" s="135"/>
      <c r="L21" s="201"/>
      <c r="M21" s="201"/>
    </row>
    <row r="22" spans="1:13" s="105" customFormat="1" ht="17.25" thickBot="1" x14ac:dyDescent="0.25">
      <c r="A22" s="58" t="s">
        <v>112</v>
      </c>
      <c r="B22" s="48"/>
      <c r="C22" s="148"/>
      <c r="D22" s="49" t="s">
        <v>65</v>
      </c>
      <c r="E22" s="167"/>
      <c r="F22" s="51"/>
      <c r="G22" s="52"/>
      <c r="H22" s="50"/>
      <c r="I22" s="52"/>
      <c r="J22" s="137">
        <f>SUM(J13:J20)</f>
        <v>0</v>
      </c>
      <c r="L22" s="198"/>
      <c r="M22" s="198"/>
    </row>
    <row r="23" spans="1:13" s="17" customFormat="1" ht="15.75" x14ac:dyDescent="0.2">
      <c r="A23" s="29"/>
      <c r="B23" s="30"/>
      <c r="C23" s="59"/>
      <c r="D23" s="59"/>
      <c r="E23" s="168"/>
      <c r="F23" s="33"/>
      <c r="G23" s="34"/>
      <c r="H23" s="32"/>
      <c r="I23" s="34"/>
      <c r="J23" s="119"/>
      <c r="L23" s="198"/>
      <c r="M23" s="198"/>
    </row>
    <row r="24" spans="1:13" s="65" customFormat="1" x14ac:dyDescent="0.2">
      <c r="A24" s="29"/>
      <c r="B24" s="30"/>
      <c r="C24" s="150"/>
      <c r="D24" s="61"/>
      <c r="E24" s="169"/>
      <c r="F24" s="64"/>
      <c r="G24" s="34"/>
      <c r="H24" s="158"/>
      <c r="I24" s="34"/>
      <c r="J24" s="119"/>
      <c r="L24" s="198"/>
      <c r="M24" s="198"/>
    </row>
    <row r="25" spans="1:13" x14ac:dyDescent="0.2">
      <c r="A25" s="29"/>
      <c r="B25" s="30"/>
      <c r="C25" s="149"/>
      <c r="D25" s="62" t="s">
        <v>85</v>
      </c>
      <c r="E25" s="102"/>
      <c r="F25" s="63"/>
      <c r="H25" s="157"/>
      <c r="J25" s="119"/>
    </row>
    <row r="26" spans="1:13" s="65" customFormat="1" ht="22.5" x14ac:dyDescent="0.2">
      <c r="A26" s="29"/>
      <c r="B26" s="30"/>
      <c r="C26" s="150"/>
      <c r="D26" s="66" t="s">
        <v>76</v>
      </c>
      <c r="E26" s="169"/>
      <c r="F26" s="64"/>
      <c r="G26" s="34"/>
      <c r="H26" s="158"/>
      <c r="I26" s="34"/>
      <c r="J26" s="119"/>
      <c r="L26" s="198"/>
      <c r="M26" s="198"/>
    </row>
    <row r="27" spans="1:13" s="65" customFormat="1" ht="45" x14ac:dyDescent="0.2">
      <c r="A27" s="29"/>
      <c r="B27" s="30"/>
      <c r="C27" s="150"/>
      <c r="D27" s="67" t="s">
        <v>78</v>
      </c>
      <c r="E27" s="169"/>
      <c r="F27" s="64"/>
      <c r="G27" s="34"/>
      <c r="H27" s="158"/>
      <c r="I27" s="34"/>
      <c r="J27" s="119"/>
      <c r="L27" s="198"/>
      <c r="M27" s="198"/>
    </row>
    <row r="28" spans="1:13" s="69" customFormat="1" ht="33.75" x14ac:dyDescent="0.2">
      <c r="A28" s="36"/>
      <c r="B28" s="37"/>
      <c r="C28" s="66"/>
      <c r="D28" s="67" t="s">
        <v>69</v>
      </c>
      <c r="E28" s="169"/>
      <c r="F28" s="68"/>
      <c r="G28" s="45"/>
      <c r="H28" s="158"/>
      <c r="I28" s="45"/>
      <c r="J28" s="119"/>
      <c r="L28" s="201"/>
      <c r="M28" s="201"/>
    </row>
    <row r="29" spans="1:13" s="65" customFormat="1" ht="22.5" x14ac:dyDescent="0.2">
      <c r="A29" s="29"/>
      <c r="B29" s="30"/>
      <c r="C29" s="150"/>
      <c r="D29" s="67" t="s">
        <v>70</v>
      </c>
      <c r="E29" s="169"/>
      <c r="F29" s="64"/>
      <c r="G29" s="34"/>
      <c r="H29" s="158"/>
      <c r="I29" s="34"/>
      <c r="J29" s="119"/>
      <c r="L29" s="198"/>
      <c r="M29" s="198"/>
    </row>
    <row r="30" spans="1:13" s="69" customFormat="1" ht="33.75" x14ac:dyDescent="0.2">
      <c r="A30" s="36"/>
      <c r="B30" s="37"/>
      <c r="C30" s="66"/>
      <c r="D30" s="67" t="s">
        <v>71</v>
      </c>
      <c r="E30" s="169"/>
      <c r="F30" s="68"/>
      <c r="G30" s="45"/>
      <c r="H30" s="158"/>
      <c r="I30" s="45"/>
      <c r="J30" s="119"/>
      <c r="L30" s="201"/>
      <c r="M30" s="201"/>
    </row>
    <row r="31" spans="1:13" s="65" customFormat="1" x14ac:dyDescent="0.2">
      <c r="A31" s="29"/>
      <c r="B31" s="30"/>
      <c r="C31" s="150"/>
      <c r="D31" s="67" t="s">
        <v>83</v>
      </c>
      <c r="E31" s="169"/>
      <c r="F31" s="64"/>
      <c r="G31" s="34"/>
      <c r="H31" s="158"/>
      <c r="I31" s="34"/>
      <c r="J31" s="119"/>
      <c r="L31" s="198"/>
      <c r="M31" s="198"/>
    </row>
    <row r="32" spans="1:13" s="69" customFormat="1" x14ac:dyDescent="0.2">
      <c r="A32" s="36"/>
      <c r="B32" s="37"/>
      <c r="C32" s="66"/>
      <c r="D32" s="67" t="s">
        <v>84</v>
      </c>
      <c r="E32" s="169"/>
      <c r="F32" s="68"/>
      <c r="G32" s="45"/>
      <c r="H32" s="158"/>
      <c r="I32" s="45"/>
      <c r="J32" s="119"/>
      <c r="L32" s="201"/>
      <c r="M32" s="201"/>
    </row>
    <row r="33" spans="1:13" s="65" customFormat="1" ht="56.25" x14ac:dyDescent="0.2">
      <c r="A33" s="29"/>
      <c r="B33" s="30"/>
      <c r="C33" s="150"/>
      <c r="D33" s="70" t="s">
        <v>91</v>
      </c>
      <c r="E33" s="169"/>
      <c r="F33" s="64"/>
      <c r="G33" s="34"/>
      <c r="H33" s="158"/>
      <c r="I33" s="34"/>
      <c r="J33" s="119"/>
      <c r="L33" s="198"/>
      <c r="M33" s="198"/>
    </row>
    <row r="34" spans="1:13" s="69" customFormat="1" x14ac:dyDescent="0.2">
      <c r="A34" s="36"/>
      <c r="B34" s="37"/>
      <c r="C34" s="66"/>
      <c r="D34" s="191" t="s">
        <v>92</v>
      </c>
      <c r="E34" s="169"/>
      <c r="F34" s="68"/>
      <c r="G34" s="45"/>
      <c r="H34" s="158"/>
      <c r="I34" s="45"/>
      <c r="J34" s="119"/>
      <c r="L34" s="201"/>
      <c r="M34" s="201"/>
    </row>
    <row r="35" spans="1:13" s="65" customFormat="1" ht="45" x14ac:dyDescent="0.2">
      <c r="A35" s="29"/>
      <c r="B35" s="30"/>
      <c r="C35" s="150"/>
      <c r="D35" s="67" t="s">
        <v>79</v>
      </c>
      <c r="E35" s="169"/>
      <c r="F35" s="64"/>
      <c r="G35" s="34"/>
      <c r="H35" s="158"/>
      <c r="I35" s="34"/>
      <c r="J35" s="119"/>
      <c r="L35" s="198"/>
      <c r="M35" s="198"/>
    </row>
    <row r="36" spans="1:13" s="69" customFormat="1" ht="45" x14ac:dyDescent="0.2">
      <c r="A36" s="36"/>
      <c r="B36" s="37"/>
      <c r="C36" s="66"/>
      <c r="D36" s="67" t="s">
        <v>66</v>
      </c>
      <c r="E36" s="169"/>
      <c r="F36" s="68"/>
      <c r="G36" s="45"/>
      <c r="H36" s="158"/>
      <c r="I36" s="45"/>
      <c r="J36" s="119"/>
      <c r="L36" s="201"/>
      <c r="M36" s="201"/>
    </row>
    <row r="37" spans="1:13" s="65" customFormat="1" ht="33.75" x14ac:dyDescent="0.2">
      <c r="A37" s="29"/>
      <c r="B37" s="30"/>
      <c r="C37" s="150"/>
      <c r="D37" s="67" t="s">
        <v>17</v>
      </c>
      <c r="E37" s="169"/>
      <c r="F37" s="64"/>
      <c r="G37" s="34"/>
      <c r="H37" s="158"/>
      <c r="I37" s="34"/>
      <c r="J37" s="119"/>
      <c r="L37" s="198"/>
      <c r="M37" s="198"/>
    </row>
    <row r="38" spans="1:13" s="69" customFormat="1" ht="22.5" x14ac:dyDescent="0.2">
      <c r="A38" s="36"/>
      <c r="B38" s="37"/>
      <c r="C38" s="66"/>
      <c r="D38" s="67" t="s">
        <v>18</v>
      </c>
      <c r="E38" s="169"/>
      <c r="F38" s="68"/>
      <c r="G38" s="45"/>
      <c r="H38" s="158"/>
      <c r="I38" s="45"/>
      <c r="J38" s="119"/>
      <c r="L38" s="201"/>
      <c r="M38" s="201"/>
    </row>
    <row r="39" spans="1:13" s="65" customFormat="1" ht="22.5" x14ac:dyDescent="0.2">
      <c r="A39" s="29"/>
      <c r="B39" s="30"/>
      <c r="C39" s="150"/>
      <c r="D39" s="67" t="s">
        <v>19</v>
      </c>
      <c r="E39" s="169"/>
      <c r="F39" s="64"/>
      <c r="G39" s="34"/>
      <c r="H39" s="158"/>
      <c r="I39" s="34"/>
      <c r="J39" s="119"/>
      <c r="L39" s="198"/>
      <c r="M39" s="198"/>
    </row>
    <row r="40" spans="1:13" s="65" customFormat="1" ht="22.5" x14ac:dyDescent="0.2">
      <c r="A40" s="29"/>
      <c r="B40" s="30"/>
      <c r="C40" s="150"/>
      <c r="D40" s="67" t="s">
        <v>59</v>
      </c>
      <c r="E40" s="169"/>
      <c r="F40" s="64"/>
      <c r="G40" s="34"/>
      <c r="H40" s="158"/>
      <c r="I40" s="34"/>
      <c r="J40" s="119"/>
      <c r="L40" s="198"/>
      <c r="M40" s="198"/>
    </row>
    <row r="41" spans="1:13" s="69" customFormat="1" ht="33.75" x14ac:dyDescent="0.2">
      <c r="A41" s="36"/>
      <c r="B41" s="37"/>
      <c r="C41" s="66"/>
      <c r="D41" s="67" t="s">
        <v>60</v>
      </c>
      <c r="E41" s="169"/>
      <c r="F41" s="68"/>
      <c r="G41" s="45"/>
      <c r="H41" s="158"/>
      <c r="I41" s="45"/>
      <c r="J41" s="119"/>
      <c r="L41" s="201"/>
      <c r="M41" s="201"/>
    </row>
    <row r="42" spans="1:13" s="13" customFormat="1" ht="63" x14ac:dyDescent="0.2">
      <c r="A42" s="91"/>
      <c r="B42" s="80"/>
      <c r="C42" s="150"/>
      <c r="D42" s="203" t="s">
        <v>101</v>
      </c>
      <c r="E42" s="90"/>
      <c r="F42" s="9"/>
      <c r="G42" s="34"/>
      <c r="H42" s="165"/>
      <c r="I42" s="34"/>
      <c r="J42" s="119"/>
      <c r="L42" s="178"/>
      <c r="M42" s="178"/>
    </row>
    <row r="43" spans="1:13" s="17" customFormat="1" ht="31.5" x14ac:dyDescent="0.2">
      <c r="A43" s="29"/>
      <c r="B43" s="30"/>
      <c r="C43" s="59"/>
      <c r="D43" s="182" t="s">
        <v>49</v>
      </c>
      <c r="E43" s="183"/>
      <c r="F43" s="33"/>
      <c r="G43" s="34"/>
      <c r="H43" s="184"/>
      <c r="I43" s="34"/>
      <c r="J43" s="119"/>
      <c r="K43" s="185"/>
      <c r="L43" s="198"/>
      <c r="M43" s="198"/>
    </row>
    <row r="44" spans="1:13" s="69" customFormat="1" ht="13.5" thickBot="1" x14ac:dyDescent="0.25">
      <c r="A44" s="36"/>
      <c r="B44" s="37"/>
      <c r="C44" s="66"/>
      <c r="D44" s="67"/>
      <c r="E44" s="169"/>
      <c r="F44" s="68"/>
      <c r="G44" s="45"/>
      <c r="H44" s="158"/>
      <c r="I44" s="45"/>
      <c r="J44" s="119"/>
      <c r="L44" s="201"/>
      <c r="M44" s="201"/>
    </row>
    <row r="45" spans="1:13" s="75" customFormat="1" ht="15" x14ac:dyDescent="0.2">
      <c r="A45" s="71" t="s">
        <v>8</v>
      </c>
      <c r="B45" s="72"/>
      <c r="C45" s="151" t="s">
        <v>102</v>
      </c>
      <c r="D45" s="73" t="s">
        <v>10</v>
      </c>
      <c r="E45" s="94"/>
      <c r="F45" s="74"/>
      <c r="G45" s="112"/>
      <c r="H45" s="159"/>
      <c r="I45" s="112"/>
      <c r="J45" s="138"/>
      <c r="L45" s="202"/>
      <c r="M45" s="202"/>
    </row>
    <row r="46" spans="1:13" s="13" customFormat="1" x14ac:dyDescent="0.2">
      <c r="A46" s="91"/>
      <c r="B46" s="80"/>
      <c r="C46" s="150"/>
      <c r="D46" s="3"/>
      <c r="E46" s="12"/>
      <c r="F46" s="9"/>
      <c r="G46" s="34"/>
      <c r="H46" s="156"/>
      <c r="I46" s="34"/>
      <c r="J46" s="119"/>
      <c r="L46" s="178"/>
      <c r="M46" s="178"/>
    </row>
    <row r="47" spans="1:13" s="15" customFormat="1" x14ac:dyDescent="0.2">
      <c r="A47" s="92" t="s">
        <v>8</v>
      </c>
      <c r="B47" s="77" t="s">
        <v>8</v>
      </c>
      <c r="C47" s="152" t="s">
        <v>103</v>
      </c>
      <c r="D47" s="78" t="s">
        <v>114</v>
      </c>
      <c r="E47" s="86"/>
      <c r="F47" s="87"/>
      <c r="G47" s="113"/>
      <c r="H47" s="160"/>
      <c r="I47" s="113"/>
      <c r="J47" s="139"/>
      <c r="L47" s="202"/>
      <c r="M47" s="202"/>
    </row>
    <row r="48" spans="1:13" s="13" customFormat="1" x14ac:dyDescent="0.2">
      <c r="A48" s="91"/>
      <c r="B48" s="80"/>
      <c r="C48" s="150"/>
      <c r="D48" s="123"/>
      <c r="E48" s="12"/>
      <c r="F48" s="9"/>
      <c r="G48" s="34"/>
      <c r="H48" s="156"/>
      <c r="I48" s="34"/>
      <c r="J48" s="119"/>
      <c r="L48" s="178"/>
      <c r="M48" s="178"/>
    </row>
    <row r="49" spans="1:13" s="104" customFormat="1" ht="12" x14ac:dyDescent="0.2">
      <c r="A49" s="91" t="s">
        <v>8</v>
      </c>
      <c r="B49" s="80" t="s">
        <v>8</v>
      </c>
      <c r="C49" s="150" t="s">
        <v>113</v>
      </c>
      <c r="D49" s="120" t="s">
        <v>202</v>
      </c>
      <c r="E49" s="12"/>
      <c r="F49" s="9"/>
      <c r="G49" s="116"/>
      <c r="H49" s="156"/>
      <c r="I49" s="176"/>
      <c r="J49" s="248"/>
      <c r="L49" s="178"/>
      <c r="M49" s="178"/>
    </row>
    <row r="50" spans="1:13" s="104" customFormat="1" ht="22.5" x14ac:dyDescent="0.2">
      <c r="A50" s="91"/>
      <c r="B50" s="80"/>
      <c r="C50" s="140"/>
      <c r="D50" s="166" t="s">
        <v>287</v>
      </c>
      <c r="E50" s="12"/>
      <c r="F50" s="9"/>
      <c r="G50" s="116"/>
      <c r="H50" s="156"/>
      <c r="I50" s="176"/>
      <c r="J50" s="248"/>
      <c r="L50" s="178"/>
      <c r="M50" s="178"/>
    </row>
    <row r="51" spans="1:13" s="104" customFormat="1" ht="33.75" x14ac:dyDescent="0.2">
      <c r="A51" s="91"/>
      <c r="B51" s="80"/>
      <c r="C51" s="140"/>
      <c r="D51" s="8" t="s">
        <v>284</v>
      </c>
      <c r="E51" s="12"/>
      <c r="F51" s="9"/>
      <c r="G51" s="116"/>
      <c r="H51" s="156"/>
      <c r="I51" s="176" t="str">
        <f t="shared" ref="I51" si="0">IF(ISBLANK(E51),"",G51+H51)</f>
        <v/>
      </c>
      <c r="J51" s="207" t="str">
        <f t="shared" ref="J51" si="1">IF(ISBLANK(E51),"",E51*I51)</f>
        <v/>
      </c>
      <c r="L51" s="178"/>
      <c r="M51" s="178"/>
    </row>
    <row r="52" spans="1:13" s="178" customFormat="1" ht="33.75" customHeight="1" x14ac:dyDescent="0.2">
      <c r="A52" s="171"/>
      <c r="B52" s="172"/>
      <c r="C52" s="173"/>
      <c r="D52" s="166" t="s">
        <v>283</v>
      </c>
      <c r="E52" s="174"/>
      <c r="F52" s="175"/>
      <c r="G52" s="176"/>
      <c r="H52" s="177"/>
      <c r="I52" s="176" t="str">
        <f>IF(ISBLANK(E52),"",G52+H52)</f>
        <v/>
      </c>
      <c r="J52" s="207" t="str">
        <f>IF(ISBLANK(E52),"",E52*I52)</f>
        <v/>
      </c>
    </row>
    <row r="53" spans="1:13" s="181" customFormat="1" ht="22.5" customHeight="1" x14ac:dyDescent="0.2">
      <c r="A53" s="171"/>
      <c r="B53" s="172"/>
      <c r="C53" s="170"/>
      <c r="D53" s="179" t="s">
        <v>123</v>
      </c>
      <c r="E53" s="174"/>
      <c r="F53" s="180"/>
      <c r="G53" s="176"/>
      <c r="H53" s="177"/>
      <c r="I53" s="176" t="str">
        <f>IF(ISBLANK(E53),"",G53+H53)</f>
        <v/>
      </c>
      <c r="J53" s="207" t="str">
        <f>IF(ISBLANK(E53),"",E53*I53)</f>
        <v/>
      </c>
      <c r="L53" s="202"/>
      <c r="M53" s="202"/>
    </row>
    <row r="54" spans="1:13" s="104" customFormat="1" x14ac:dyDescent="0.2">
      <c r="A54" s="91" t="s">
        <v>8</v>
      </c>
      <c r="B54" s="80" t="s">
        <v>8</v>
      </c>
      <c r="C54" s="140" t="s">
        <v>9</v>
      </c>
      <c r="D54" s="100" t="s">
        <v>42</v>
      </c>
      <c r="E54" s="12">
        <v>1</v>
      </c>
      <c r="F54" s="9" t="s">
        <v>135</v>
      </c>
      <c r="G54" s="116"/>
      <c r="H54" s="156"/>
      <c r="I54" s="176">
        <f>IF(ISBLANK(E54),"",G54+H54)</f>
        <v>0</v>
      </c>
      <c r="J54" s="207">
        <f>IF(ISBLANK(E54),"",E54*I54)</f>
        <v>0</v>
      </c>
      <c r="L54" s="178"/>
      <c r="M54" s="178"/>
    </row>
    <row r="55" spans="1:13" s="104" customFormat="1" ht="45" x14ac:dyDescent="0.2">
      <c r="A55" s="91"/>
      <c r="B55" s="80"/>
      <c r="C55" s="140"/>
      <c r="D55" s="8" t="s">
        <v>121</v>
      </c>
      <c r="E55" s="12"/>
      <c r="F55" s="9"/>
      <c r="G55" s="116"/>
      <c r="H55" s="156"/>
      <c r="I55" s="176" t="str">
        <f t="shared" ref="I55:I70" si="2">IF(ISBLANK(E55),"",G55+H55)</f>
        <v/>
      </c>
      <c r="J55" s="207" t="str">
        <f t="shared" ref="J55:J70" si="3">IF(ISBLANK(E55),"",E55*I55)</f>
        <v/>
      </c>
      <c r="L55" s="178"/>
      <c r="M55" s="178"/>
    </row>
    <row r="56" spans="1:13" s="104" customFormat="1" x14ac:dyDescent="0.2">
      <c r="A56" s="91" t="s">
        <v>8</v>
      </c>
      <c r="B56" s="80" t="s">
        <v>8</v>
      </c>
      <c r="C56" s="140" t="s">
        <v>11</v>
      </c>
      <c r="D56" s="100" t="s">
        <v>122</v>
      </c>
      <c r="E56" s="12">
        <f>2*15*6</f>
        <v>180</v>
      </c>
      <c r="F56" s="9" t="s">
        <v>77</v>
      </c>
      <c r="G56" s="116"/>
      <c r="H56" s="156"/>
      <c r="I56" s="176">
        <f t="shared" si="2"/>
        <v>0</v>
      </c>
      <c r="J56" s="207">
        <f t="shared" si="3"/>
        <v>0</v>
      </c>
      <c r="L56" s="178"/>
      <c r="M56" s="178"/>
    </row>
    <row r="57" spans="1:13" s="181" customFormat="1" ht="22.5" x14ac:dyDescent="0.2">
      <c r="A57" s="171"/>
      <c r="B57" s="172"/>
      <c r="C57" s="170"/>
      <c r="D57" s="179" t="s">
        <v>125</v>
      </c>
      <c r="E57" s="174"/>
      <c r="F57" s="180"/>
      <c r="G57" s="176"/>
      <c r="H57" s="177"/>
      <c r="I57" s="176" t="str">
        <f t="shared" si="2"/>
        <v/>
      </c>
      <c r="J57" s="207" t="str">
        <f t="shared" si="3"/>
        <v/>
      </c>
      <c r="L57" s="202"/>
      <c r="M57" s="202"/>
    </row>
    <row r="58" spans="1:13" s="181" customFormat="1" ht="22.5" x14ac:dyDescent="0.2">
      <c r="A58" s="171"/>
      <c r="B58" s="172"/>
      <c r="C58" s="170"/>
      <c r="D58" s="179" t="s">
        <v>126</v>
      </c>
      <c r="E58" s="174"/>
      <c r="F58" s="180"/>
      <c r="G58" s="176"/>
      <c r="H58" s="177"/>
      <c r="I58" s="176" t="str">
        <f t="shared" si="2"/>
        <v/>
      </c>
      <c r="J58" s="207" t="str">
        <f t="shared" si="3"/>
        <v/>
      </c>
      <c r="L58" s="202"/>
      <c r="M58" s="202"/>
    </row>
    <row r="59" spans="1:13" s="178" customFormat="1" ht="33.75" x14ac:dyDescent="0.2">
      <c r="A59" s="171"/>
      <c r="B59" s="172"/>
      <c r="C59" s="173"/>
      <c r="D59" s="166" t="s">
        <v>127</v>
      </c>
      <c r="E59" s="174"/>
      <c r="F59" s="175"/>
      <c r="G59" s="176"/>
      <c r="H59" s="177"/>
      <c r="I59" s="176" t="str">
        <f t="shared" si="2"/>
        <v/>
      </c>
      <c r="J59" s="207" t="str">
        <f t="shared" si="3"/>
        <v/>
      </c>
    </row>
    <row r="60" spans="1:13" s="178" customFormat="1" ht="45" customHeight="1" x14ac:dyDescent="0.2">
      <c r="A60" s="171"/>
      <c r="B60" s="172"/>
      <c r="C60" s="173"/>
      <c r="D60" s="166" t="s">
        <v>46</v>
      </c>
      <c r="E60" s="174"/>
      <c r="F60" s="175"/>
      <c r="G60" s="176"/>
      <c r="H60" s="177"/>
      <c r="I60" s="176" t="str">
        <f t="shared" si="2"/>
        <v/>
      </c>
      <c r="J60" s="207" t="str">
        <f t="shared" si="3"/>
        <v/>
      </c>
    </row>
    <row r="61" spans="1:13" s="178" customFormat="1" ht="22.5" customHeight="1" x14ac:dyDescent="0.2">
      <c r="A61" s="171"/>
      <c r="B61" s="172"/>
      <c r="C61" s="173"/>
      <c r="D61" s="166" t="s">
        <v>128</v>
      </c>
      <c r="E61" s="174"/>
      <c r="F61" s="175"/>
      <c r="G61" s="176"/>
      <c r="H61" s="177"/>
      <c r="I61" s="176" t="str">
        <f t="shared" si="2"/>
        <v/>
      </c>
      <c r="J61" s="207" t="str">
        <f t="shared" si="3"/>
        <v/>
      </c>
    </row>
    <row r="62" spans="1:13" s="178" customFormat="1" x14ac:dyDescent="0.2">
      <c r="A62" s="171"/>
      <c r="B62" s="172"/>
      <c r="C62" s="173"/>
      <c r="D62" s="166" t="s">
        <v>47</v>
      </c>
      <c r="E62" s="174"/>
      <c r="F62" s="175"/>
      <c r="G62" s="176"/>
      <c r="H62" s="177"/>
      <c r="I62" s="176" t="str">
        <f t="shared" si="2"/>
        <v/>
      </c>
      <c r="J62" s="207" t="str">
        <f t="shared" si="3"/>
        <v/>
      </c>
    </row>
    <row r="63" spans="1:13" s="178" customFormat="1" ht="22.5" x14ac:dyDescent="0.2">
      <c r="A63" s="171"/>
      <c r="B63" s="172"/>
      <c r="C63" s="173"/>
      <c r="D63" s="166" t="s">
        <v>44</v>
      </c>
      <c r="E63" s="174"/>
      <c r="F63" s="175"/>
      <c r="G63" s="176"/>
      <c r="H63" s="177"/>
      <c r="I63" s="176" t="str">
        <f t="shared" si="2"/>
        <v/>
      </c>
      <c r="J63" s="207" t="str">
        <f t="shared" si="3"/>
        <v/>
      </c>
    </row>
    <row r="64" spans="1:13" s="178" customFormat="1" ht="22.5" x14ac:dyDescent="0.2">
      <c r="A64" s="171"/>
      <c r="B64" s="172"/>
      <c r="C64" s="173"/>
      <c r="D64" s="166" t="s">
        <v>48</v>
      </c>
      <c r="E64" s="174"/>
      <c r="F64" s="175"/>
      <c r="G64" s="176"/>
      <c r="H64" s="177"/>
      <c r="I64" s="176" t="str">
        <f t="shared" si="2"/>
        <v/>
      </c>
      <c r="J64" s="207" t="str">
        <f t="shared" si="3"/>
        <v/>
      </c>
    </row>
    <row r="65" spans="1:13" s="104" customFormat="1" x14ac:dyDescent="0.2">
      <c r="A65" s="79" t="s">
        <v>8</v>
      </c>
      <c r="B65" s="76" t="s">
        <v>8</v>
      </c>
      <c r="C65" s="150" t="s">
        <v>12</v>
      </c>
      <c r="D65" s="100" t="s">
        <v>124</v>
      </c>
      <c r="E65" s="12">
        <f>2*(15*6-1)</f>
        <v>178</v>
      </c>
      <c r="F65" s="9" t="s">
        <v>77</v>
      </c>
      <c r="G65" s="116"/>
      <c r="H65" s="156"/>
      <c r="I65" s="176">
        <f t="shared" si="2"/>
        <v>0</v>
      </c>
      <c r="J65" s="207">
        <f t="shared" si="3"/>
        <v>0</v>
      </c>
      <c r="L65" s="178"/>
      <c r="M65" s="178"/>
    </row>
    <row r="66" spans="1:13" s="104" customFormat="1" ht="22.5" x14ac:dyDescent="0.2">
      <c r="A66" s="91"/>
      <c r="B66" s="80"/>
      <c r="C66" s="140"/>
      <c r="D66" s="8" t="s">
        <v>134</v>
      </c>
      <c r="E66" s="12"/>
      <c r="F66" s="9"/>
      <c r="G66" s="34"/>
      <c r="H66" s="156"/>
      <c r="I66" s="176" t="str">
        <f t="shared" si="2"/>
        <v/>
      </c>
      <c r="J66" s="207" t="str">
        <f t="shared" si="3"/>
        <v/>
      </c>
      <c r="L66" s="178"/>
      <c r="M66" s="178"/>
    </row>
    <row r="67" spans="1:13" s="104" customFormat="1" x14ac:dyDescent="0.2">
      <c r="A67" s="79" t="s">
        <v>8</v>
      </c>
      <c r="B67" s="76" t="s">
        <v>8</v>
      </c>
      <c r="C67" s="150" t="s">
        <v>13</v>
      </c>
      <c r="D67" s="100" t="s">
        <v>129</v>
      </c>
      <c r="E67" s="12">
        <v>1</v>
      </c>
      <c r="F67" s="9" t="s">
        <v>130</v>
      </c>
      <c r="G67" s="116"/>
      <c r="H67" s="156"/>
      <c r="I67" s="176">
        <f t="shared" si="2"/>
        <v>0</v>
      </c>
      <c r="J67" s="207">
        <f t="shared" si="3"/>
        <v>0</v>
      </c>
      <c r="L67" s="178"/>
      <c r="M67" s="178"/>
    </row>
    <row r="68" spans="1:13" s="104" customFormat="1" ht="22.5" x14ac:dyDescent="0.2">
      <c r="A68" s="91"/>
      <c r="B68" s="80"/>
      <c r="C68" s="140"/>
      <c r="D68" s="8" t="s">
        <v>131</v>
      </c>
      <c r="E68" s="12"/>
      <c r="F68" s="9"/>
      <c r="G68" s="34"/>
      <c r="H68" s="156"/>
      <c r="I68" s="176" t="str">
        <f t="shared" si="2"/>
        <v/>
      </c>
      <c r="J68" s="207" t="str">
        <f t="shared" si="3"/>
        <v/>
      </c>
      <c r="L68" s="178"/>
      <c r="M68" s="178"/>
    </row>
    <row r="69" spans="1:13" s="104" customFormat="1" x14ac:dyDescent="0.2">
      <c r="A69" s="91" t="s">
        <v>8</v>
      </c>
      <c r="B69" s="80" t="s">
        <v>8</v>
      </c>
      <c r="C69" s="140" t="s">
        <v>14</v>
      </c>
      <c r="D69" s="100" t="s">
        <v>132</v>
      </c>
      <c r="E69" s="12">
        <v>1</v>
      </c>
      <c r="F69" s="9" t="s">
        <v>130</v>
      </c>
      <c r="G69" s="116"/>
      <c r="H69" s="156"/>
      <c r="I69" s="176">
        <f t="shared" si="2"/>
        <v>0</v>
      </c>
      <c r="J69" s="207">
        <f t="shared" si="3"/>
        <v>0</v>
      </c>
      <c r="L69" s="178"/>
      <c r="M69" s="178"/>
    </row>
    <row r="70" spans="1:13" s="104" customFormat="1" ht="22.5" x14ac:dyDescent="0.2">
      <c r="A70" s="91"/>
      <c r="B70" s="80"/>
      <c r="C70" s="140"/>
      <c r="D70" s="8" t="s">
        <v>133</v>
      </c>
      <c r="E70" s="12"/>
      <c r="F70" s="9"/>
      <c r="G70" s="116"/>
      <c r="H70" s="156"/>
      <c r="I70" s="176" t="str">
        <f t="shared" si="2"/>
        <v/>
      </c>
      <c r="J70" s="207" t="str">
        <f t="shared" si="3"/>
        <v/>
      </c>
      <c r="L70" s="178"/>
      <c r="M70" s="178"/>
    </row>
    <row r="71" spans="1:13" s="13" customFormat="1" ht="13.5" thickBot="1" x14ac:dyDescent="0.25">
      <c r="A71" s="91"/>
      <c r="B71" s="80"/>
      <c r="C71" s="150"/>
      <c r="D71" s="3"/>
      <c r="E71" s="12"/>
      <c r="F71" s="9"/>
      <c r="G71" s="34"/>
      <c r="H71" s="156"/>
      <c r="I71" s="34"/>
      <c r="J71" s="119"/>
      <c r="L71" s="178"/>
      <c r="M71" s="178"/>
    </row>
    <row r="72" spans="1:13" s="10" customFormat="1" ht="23.25" thickBot="1" x14ac:dyDescent="0.25">
      <c r="A72" s="81" t="s">
        <v>8</v>
      </c>
      <c r="B72" s="82" t="s">
        <v>8</v>
      </c>
      <c r="C72" s="153" t="s">
        <v>104</v>
      </c>
      <c r="D72" s="84" t="s">
        <v>90</v>
      </c>
      <c r="E72" s="121"/>
      <c r="F72" s="85"/>
      <c r="G72" s="114"/>
      <c r="H72" s="161"/>
      <c r="I72" s="114"/>
      <c r="J72" s="162">
        <f>SUM(J54:J70)</f>
        <v>0</v>
      </c>
      <c r="L72" s="202"/>
      <c r="M72" s="202"/>
    </row>
    <row r="73" spans="1:13" s="13" customFormat="1" ht="15.75" x14ac:dyDescent="0.2">
      <c r="A73" s="91"/>
      <c r="B73" s="80"/>
      <c r="C73" s="150"/>
      <c r="D73" s="122"/>
      <c r="E73" s="12"/>
      <c r="F73" s="9"/>
      <c r="G73" s="34"/>
      <c r="H73" s="156"/>
      <c r="I73" s="34"/>
      <c r="J73" s="119"/>
      <c r="L73" s="178"/>
      <c r="M73" s="178"/>
    </row>
    <row r="74" spans="1:13" s="15" customFormat="1" x14ac:dyDescent="0.2">
      <c r="A74" s="92" t="s">
        <v>8</v>
      </c>
      <c r="B74" s="77" t="s">
        <v>9</v>
      </c>
      <c r="C74" s="152" t="s">
        <v>103</v>
      </c>
      <c r="D74" s="78" t="s">
        <v>107</v>
      </c>
      <c r="E74" s="86"/>
      <c r="F74" s="87"/>
      <c r="G74" s="113"/>
      <c r="H74" s="160"/>
      <c r="I74" s="113"/>
      <c r="J74" s="139"/>
      <c r="L74" s="202"/>
      <c r="M74" s="202"/>
    </row>
    <row r="75" spans="1:13" s="13" customFormat="1" x14ac:dyDescent="0.2">
      <c r="A75" s="91"/>
      <c r="B75" s="80"/>
      <c r="C75" s="150"/>
      <c r="D75" s="123"/>
      <c r="E75" s="90"/>
      <c r="F75" s="9"/>
      <c r="G75" s="34"/>
      <c r="H75" s="165"/>
      <c r="I75" s="34"/>
      <c r="J75" s="119"/>
      <c r="L75" s="178"/>
      <c r="M75" s="178"/>
    </row>
    <row r="76" spans="1:13" s="13" customFormat="1" x14ac:dyDescent="0.2">
      <c r="A76" s="91" t="s">
        <v>8</v>
      </c>
      <c r="B76" s="80" t="s">
        <v>9</v>
      </c>
      <c r="C76" s="150" t="s">
        <v>113</v>
      </c>
      <c r="D76" s="111" t="s">
        <v>80</v>
      </c>
      <c r="E76" s="12"/>
      <c r="F76" s="9"/>
      <c r="G76" s="116"/>
      <c r="H76" s="156"/>
      <c r="I76" s="34"/>
      <c r="J76" s="119"/>
      <c r="L76" s="178"/>
      <c r="M76" s="178"/>
    </row>
    <row r="77" spans="1:13" s="13" customFormat="1" ht="22.5" x14ac:dyDescent="0.2">
      <c r="A77" s="91"/>
      <c r="B77" s="80"/>
      <c r="C77" s="150"/>
      <c r="D77" s="8" t="s">
        <v>81</v>
      </c>
      <c r="E77" s="12"/>
      <c r="F77" s="9"/>
      <c r="G77" s="116"/>
      <c r="H77" s="156"/>
      <c r="I77" s="34"/>
      <c r="J77" s="119"/>
      <c r="L77" s="178"/>
      <c r="M77" s="178"/>
    </row>
    <row r="78" spans="1:13" s="13" customFormat="1" ht="78.75" x14ac:dyDescent="0.2">
      <c r="A78" s="91"/>
      <c r="B78" s="80"/>
      <c r="C78" s="150"/>
      <c r="D78" s="8" t="s">
        <v>73</v>
      </c>
      <c r="E78" s="90"/>
      <c r="F78" s="9"/>
      <c r="G78" s="34"/>
      <c r="H78" s="165"/>
      <c r="I78" s="34"/>
      <c r="J78" s="119"/>
      <c r="L78" s="178"/>
      <c r="M78" s="178"/>
    </row>
    <row r="79" spans="1:13" s="13" customFormat="1" ht="22.5" x14ac:dyDescent="0.2">
      <c r="A79" s="91"/>
      <c r="B79" s="80"/>
      <c r="C79" s="150"/>
      <c r="D79" s="8" t="s">
        <v>33</v>
      </c>
      <c r="E79" s="90"/>
      <c r="F79" s="9"/>
      <c r="G79" s="34"/>
      <c r="H79" s="165"/>
      <c r="I79" s="34"/>
      <c r="J79" s="119"/>
      <c r="L79" s="178"/>
      <c r="M79" s="178"/>
    </row>
    <row r="80" spans="1:13" s="13" customFormat="1" ht="22.5" x14ac:dyDescent="0.2">
      <c r="A80" s="91"/>
      <c r="B80" s="80"/>
      <c r="C80" s="150"/>
      <c r="D80" s="8" t="s">
        <v>20</v>
      </c>
      <c r="E80" s="90"/>
      <c r="F80" s="9"/>
      <c r="G80" s="34"/>
      <c r="H80" s="165"/>
      <c r="I80" s="34"/>
      <c r="J80" s="119"/>
      <c r="L80" s="178"/>
      <c r="M80" s="178"/>
    </row>
    <row r="81" spans="1:13" s="13" customFormat="1" x14ac:dyDescent="0.2">
      <c r="A81" s="91"/>
      <c r="B81" s="80"/>
      <c r="C81" s="150"/>
      <c r="D81" s="8" t="s">
        <v>136</v>
      </c>
      <c r="E81" s="90"/>
      <c r="F81" s="9"/>
      <c r="G81" s="34"/>
      <c r="H81" s="165"/>
      <c r="I81" s="34"/>
      <c r="J81" s="119"/>
      <c r="L81" s="178"/>
      <c r="M81" s="178"/>
    </row>
    <row r="82" spans="1:13" s="13" customFormat="1" x14ac:dyDescent="0.2">
      <c r="A82" s="91"/>
      <c r="B82" s="80"/>
      <c r="C82" s="150"/>
      <c r="D82" s="8"/>
      <c r="E82" s="90"/>
      <c r="F82" s="9"/>
      <c r="G82" s="34"/>
      <c r="H82" s="165"/>
      <c r="I82" s="34"/>
      <c r="J82" s="119"/>
      <c r="L82" s="178"/>
      <c r="M82" s="178"/>
    </row>
    <row r="83" spans="1:13" s="13" customFormat="1" x14ac:dyDescent="0.2">
      <c r="A83" s="91"/>
      <c r="B83" s="80"/>
      <c r="C83" s="150"/>
      <c r="D83" s="204" t="s">
        <v>137</v>
      </c>
      <c r="E83" s="90"/>
      <c r="F83" s="9"/>
      <c r="G83" s="34"/>
      <c r="H83" s="165"/>
      <c r="I83" s="34"/>
      <c r="J83" s="119"/>
      <c r="L83" s="178"/>
      <c r="M83" s="178"/>
    </row>
    <row r="84" spans="1:13" s="13" customFormat="1" ht="33.75" x14ac:dyDescent="0.2">
      <c r="A84" s="91"/>
      <c r="B84" s="80"/>
      <c r="C84" s="150"/>
      <c r="D84" s="205" t="s">
        <v>139</v>
      </c>
      <c r="E84" s="90"/>
      <c r="F84" s="9"/>
      <c r="G84" s="34"/>
      <c r="H84" s="165"/>
      <c r="I84" s="34"/>
      <c r="J84" s="119"/>
      <c r="L84" s="178"/>
      <c r="M84" s="178"/>
    </row>
    <row r="85" spans="1:13" s="13" customFormat="1" x14ac:dyDescent="0.2">
      <c r="A85" s="79" t="s">
        <v>8</v>
      </c>
      <c r="B85" s="80" t="s">
        <v>9</v>
      </c>
      <c r="C85" s="150" t="s">
        <v>8</v>
      </c>
      <c r="D85" s="100" t="s">
        <v>23</v>
      </c>
      <c r="E85" s="12">
        <v>1</v>
      </c>
      <c r="F85" s="9" t="s">
        <v>135</v>
      </c>
      <c r="G85" s="34"/>
      <c r="H85" s="156"/>
      <c r="I85" s="176">
        <f>IF(ISBLANK(E85),"",G85+H85)</f>
        <v>0</v>
      </c>
      <c r="J85" s="207">
        <f>IF(ISBLANK(E85),"",E85*I85)</f>
        <v>0</v>
      </c>
      <c r="L85" s="178"/>
      <c r="M85" s="178"/>
    </row>
    <row r="86" spans="1:13" s="13" customFormat="1" ht="22.5" x14ac:dyDescent="0.2">
      <c r="A86" s="91"/>
      <c r="B86" s="80"/>
      <c r="C86" s="150"/>
      <c r="D86" s="8" t="s">
        <v>138</v>
      </c>
      <c r="E86" s="90"/>
      <c r="F86" s="9"/>
      <c r="G86" s="34"/>
      <c r="H86" s="165"/>
      <c r="I86" s="176" t="str">
        <f t="shared" ref="I86:I127" si="4">IF(ISBLANK(E86),"",G86+H86)</f>
        <v/>
      </c>
      <c r="J86" s="207" t="str">
        <f t="shared" ref="J86:J127" si="5">IF(ISBLANK(E86),"",E86*I86)</f>
        <v/>
      </c>
      <c r="L86" s="178"/>
      <c r="M86" s="178"/>
    </row>
    <row r="87" spans="1:13" s="13" customFormat="1" x14ac:dyDescent="0.2">
      <c r="A87" s="91"/>
      <c r="B87" s="80"/>
      <c r="C87" s="150"/>
      <c r="D87" s="8" t="s">
        <v>24</v>
      </c>
      <c r="E87" s="90"/>
      <c r="F87" s="9"/>
      <c r="G87" s="34"/>
      <c r="H87" s="165"/>
      <c r="I87" s="176" t="str">
        <f t="shared" si="4"/>
        <v/>
      </c>
      <c r="J87" s="207" t="str">
        <f t="shared" si="5"/>
        <v/>
      </c>
      <c r="L87" s="178"/>
      <c r="M87" s="178"/>
    </row>
    <row r="88" spans="1:13" s="13" customFormat="1" x14ac:dyDescent="0.2">
      <c r="A88" s="91"/>
      <c r="B88" s="80"/>
      <c r="C88" s="150"/>
      <c r="D88" s="8" t="s">
        <v>152</v>
      </c>
      <c r="E88" s="90"/>
      <c r="F88" s="9"/>
      <c r="G88" s="34"/>
      <c r="H88" s="165"/>
      <c r="I88" s="176" t="str">
        <f t="shared" si="4"/>
        <v/>
      </c>
      <c r="J88" s="207" t="str">
        <f t="shared" si="5"/>
        <v/>
      </c>
      <c r="L88" s="178"/>
      <c r="M88" s="178"/>
    </row>
    <row r="89" spans="1:13" s="13" customFormat="1" x14ac:dyDescent="0.2">
      <c r="A89" s="79" t="s">
        <v>8</v>
      </c>
      <c r="B89" s="80" t="s">
        <v>9</v>
      </c>
      <c r="C89" s="150" t="s">
        <v>9</v>
      </c>
      <c r="D89" s="100" t="s">
        <v>62</v>
      </c>
      <c r="E89" s="12">
        <f>2*ROUNDUP((355*3.2-180*0.5*0.5*PI() -178*0.3*0.3*PI())*0.1,0)</f>
        <v>190</v>
      </c>
      <c r="F89" s="9" t="s">
        <v>86</v>
      </c>
      <c r="G89" s="34"/>
      <c r="H89" s="156"/>
      <c r="I89" s="176">
        <f t="shared" si="4"/>
        <v>0</v>
      </c>
      <c r="J89" s="207">
        <f t="shared" si="5"/>
        <v>0</v>
      </c>
      <c r="L89" s="178"/>
      <c r="M89" s="178"/>
    </row>
    <row r="90" spans="1:13" s="13" customFormat="1" ht="22.5" x14ac:dyDescent="0.2">
      <c r="A90" s="91"/>
      <c r="B90" s="80"/>
      <c r="C90" s="150"/>
      <c r="D90" s="88" t="s">
        <v>28</v>
      </c>
      <c r="E90" s="12"/>
      <c r="F90" s="9"/>
      <c r="G90" s="34"/>
      <c r="H90" s="156"/>
      <c r="I90" s="176" t="str">
        <f t="shared" si="4"/>
        <v/>
      </c>
      <c r="J90" s="207" t="str">
        <f t="shared" si="5"/>
        <v/>
      </c>
      <c r="L90" s="178"/>
      <c r="M90" s="178"/>
    </row>
    <row r="91" spans="1:13" s="13" customFormat="1" x14ac:dyDescent="0.2">
      <c r="A91" s="91"/>
      <c r="B91" s="80"/>
      <c r="C91" s="150"/>
      <c r="D91" s="88" t="s">
        <v>82</v>
      </c>
      <c r="E91" s="12"/>
      <c r="F91" s="9"/>
      <c r="G91" s="34"/>
      <c r="H91" s="156"/>
      <c r="I91" s="176" t="str">
        <f t="shared" si="4"/>
        <v/>
      </c>
      <c r="J91" s="207" t="str">
        <f t="shared" si="5"/>
        <v/>
      </c>
      <c r="L91" s="178"/>
      <c r="M91" s="178"/>
    </row>
    <row r="92" spans="1:13" s="13" customFormat="1" x14ac:dyDescent="0.2">
      <c r="A92" s="91"/>
      <c r="B92" s="80"/>
      <c r="C92" s="150"/>
      <c r="D92" s="88" t="s">
        <v>88</v>
      </c>
      <c r="E92" s="12"/>
      <c r="F92" s="9"/>
      <c r="G92" s="34"/>
      <c r="H92" s="156"/>
      <c r="I92" s="176" t="str">
        <f t="shared" si="4"/>
        <v/>
      </c>
      <c r="J92" s="207" t="str">
        <f t="shared" si="5"/>
        <v/>
      </c>
      <c r="L92" s="178"/>
      <c r="M92" s="178"/>
    </row>
    <row r="93" spans="1:13" s="13" customFormat="1" x14ac:dyDescent="0.2">
      <c r="A93" s="91"/>
      <c r="B93" s="80"/>
      <c r="C93" s="150"/>
      <c r="D93" s="88" t="s">
        <v>87</v>
      </c>
      <c r="E93" s="12"/>
      <c r="F93" s="9"/>
      <c r="G93" s="34"/>
      <c r="H93" s="156"/>
      <c r="I93" s="176" t="str">
        <f t="shared" si="4"/>
        <v/>
      </c>
      <c r="J93" s="207" t="str">
        <f t="shared" si="5"/>
        <v/>
      </c>
      <c r="L93" s="178"/>
      <c r="M93" s="178"/>
    </row>
    <row r="94" spans="1:13" s="13" customFormat="1" x14ac:dyDescent="0.2">
      <c r="A94" s="79" t="s">
        <v>8</v>
      </c>
      <c r="B94" s="80" t="s">
        <v>9</v>
      </c>
      <c r="C94" s="150" t="s">
        <v>11</v>
      </c>
      <c r="D94" s="120" t="s">
        <v>21</v>
      </c>
      <c r="E94" s="12"/>
      <c r="F94" s="9"/>
      <c r="G94" s="34"/>
      <c r="H94" s="156"/>
      <c r="I94" s="176" t="str">
        <f t="shared" si="4"/>
        <v/>
      </c>
      <c r="J94" s="207" t="str">
        <f t="shared" si="5"/>
        <v/>
      </c>
      <c r="L94" s="178"/>
      <c r="M94" s="178"/>
    </row>
    <row r="95" spans="1:13" s="13" customFormat="1" ht="56.25" x14ac:dyDescent="0.2">
      <c r="A95" s="91"/>
      <c r="B95" s="80"/>
      <c r="C95" s="150"/>
      <c r="D95" s="8" t="s">
        <v>140</v>
      </c>
      <c r="E95" s="12"/>
      <c r="F95" s="9"/>
      <c r="G95" s="34"/>
      <c r="H95" s="156"/>
      <c r="I95" s="176" t="str">
        <f t="shared" si="4"/>
        <v/>
      </c>
      <c r="J95" s="207" t="str">
        <f t="shared" si="5"/>
        <v/>
      </c>
      <c r="L95" s="178"/>
      <c r="M95" s="178"/>
    </row>
    <row r="96" spans="1:13" s="13" customFormat="1" ht="33.75" x14ac:dyDescent="0.2">
      <c r="A96" s="91"/>
      <c r="B96" s="80"/>
      <c r="C96" s="150"/>
      <c r="D96" s="88" t="s">
        <v>180</v>
      </c>
      <c r="E96" s="12"/>
      <c r="F96" s="9"/>
      <c r="G96" s="34"/>
      <c r="H96" s="156"/>
      <c r="I96" s="176" t="str">
        <f t="shared" si="4"/>
        <v/>
      </c>
      <c r="J96" s="207" t="str">
        <f t="shared" si="5"/>
        <v/>
      </c>
      <c r="L96" s="178"/>
      <c r="M96" s="178"/>
    </row>
    <row r="97" spans="1:13" s="13" customFormat="1" ht="22.5" x14ac:dyDescent="0.2">
      <c r="A97" s="91"/>
      <c r="B97" s="80"/>
      <c r="C97" s="150"/>
      <c r="D97" s="88" t="s">
        <v>141</v>
      </c>
      <c r="E97" s="12"/>
      <c r="F97" s="9"/>
      <c r="G97" s="34"/>
      <c r="H97" s="156"/>
      <c r="I97" s="176" t="str">
        <f t="shared" si="4"/>
        <v/>
      </c>
      <c r="J97" s="207" t="str">
        <f t="shared" si="5"/>
        <v/>
      </c>
      <c r="L97" s="178"/>
      <c r="M97" s="178"/>
    </row>
    <row r="98" spans="1:13" s="13" customFormat="1" ht="33.75" x14ac:dyDescent="0.2">
      <c r="A98" s="91"/>
      <c r="B98" s="80"/>
      <c r="C98" s="150"/>
      <c r="D98" s="88" t="s">
        <v>96</v>
      </c>
      <c r="E98" s="12"/>
      <c r="F98" s="9"/>
      <c r="G98" s="34"/>
      <c r="H98" s="156"/>
      <c r="I98" s="176" t="str">
        <f t="shared" si="4"/>
        <v/>
      </c>
      <c r="J98" s="207" t="str">
        <f t="shared" si="5"/>
        <v/>
      </c>
      <c r="L98" s="178"/>
      <c r="M98" s="178"/>
    </row>
    <row r="99" spans="1:13" s="13" customFormat="1" x14ac:dyDescent="0.2">
      <c r="A99" s="79" t="s">
        <v>8</v>
      </c>
      <c r="B99" s="80" t="s">
        <v>9</v>
      </c>
      <c r="C99" s="150" t="s">
        <v>263</v>
      </c>
      <c r="D99" s="88" t="s">
        <v>142</v>
      </c>
      <c r="E99" s="12">
        <f>2*354*0.5*0.75</f>
        <v>265.5</v>
      </c>
      <c r="F99" s="9" t="s">
        <v>86</v>
      </c>
      <c r="G99" s="34"/>
      <c r="H99" s="156"/>
      <c r="I99" s="176">
        <f t="shared" si="4"/>
        <v>0</v>
      </c>
      <c r="J99" s="207">
        <f t="shared" si="5"/>
        <v>0</v>
      </c>
      <c r="L99" s="178"/>
      <c r="M99" s="178"/>
    </row>
    <row r="100" spans="1:13" s="13" customFormat="1" x14ac:dyDescent="0.2">
      <c r="A100" s="79" t="s">
        <v>8</v>
      </c>
      <c r="B100" s="80" t="s">
        <v>9</v>
      </c>
      <c r="C100" s="150" t="s">
        <v>264</v>
      </c>
      <c r="D100" s="88" t="s">
        <v>144</v>
      </c>
      <c r="E100" s="12">
        <f>2*354*1*1.5</f>
        <v>1062</v>
      </c>
      <c r="F100" s="9" t="s">
        <v>86</v>
      </c>
      <c r="G100" s="34"/>
      <c r="H100" s="156"/>
      <c r="I100" s="176">
        <f t="shared" si="4"/>
        <v>0</v>
      </c>
      <c r="J100" s="207">
        <f t="shared" si="5"/>
        <v>0</v>
      </c>
      <c r="L100" s="178"/>
      <c r="M100" s="178"/>
    </row>
    <row r="101" spans="1:13" s="13" customFormat="1" x14ac:dyDescent="0.2">
      <c r="A101" s="79" t="s">
        <v>8</v>
      </c>
      <c r="B101" s="80" t="s">
        <v>9</v>
      </c>
      <c r="C101" s="150" t="s">
        <v>265</v>
      </c>
      <c r="D101" s="11" t="s">
        <v>45</v>
      </c>
      <c r="E101" s="12">
        <f>2*15*8.1</f>
        <v>243</v>
      </c>
      <c r="F101" s="9" t="s">
        <v>74</v>
      </c>
      <c r="G101" s="34"/>
      <c r="H101" s="156"/>
      <c r="I101" s="176">
        <f t="shared" si="4"/>
        <v>0</v>
      </c>
      <c r="J101" s="207">
        <f t="shared" si="5"/>
        <v>0</v>
      </c>
      <c r="L101" s="178"/>
      <c r="M101" s="178"/>
    </row>
    <row r="102" spans="1:13" s="13" customFormat="1" x14ac:dyDescent="0.2">
      <c r="A102" s="79" t="s">
        <v>8</v>
      </c>
      <c r="B102" s="80" t="s">
        <v>9</v>
      </c>
      <c r="C102" s="150" t="s">
        <v>266</v>
      </c>
      <c r="D102" s="11" t="s">
        <v>94</v>
      </c>
      <c r="E102" s="12">
        <f>ROUNDUP((24*2*2 + 2.75*0.5+1.5*1),0)*2*15</f>
        <v>2970</v>
      </c>
      <c r="F102" s="9" t="s">
        <v>61</v>
      </c>
      <c r="G102" s="34"/>
      <c r="H102" s="156"/>
      <c r="I102" s="176">
        <f t="shared" si="4"/>
        <v>0</v>
      </c>
      <c r="J102" s="207">
        <f t="shared" si="5"/>
        <v>0</v>
      </c>
      <c r="L102" s="178"/>
      <c r="M102" s="178"/>
    </row>
    <row r="103" spans="1:13" s="13" customFormat="1" x14ac:dyDescent="0.2">
      <c r="A103" s="79" t="s">
        <v>8</v>
      </c>
      <c r="B103" s="80" t="s">
        <v>9</v>
      </c>
      <c r="C103" s="150" t="s">
        <v>267</v>
      </c>
      <c r="D103" s="11" t="s">
        <v>146</v>
      </c>
      <c r="E103" s="12">
        <f>(24*2+2*1)*2*15</f>
        <v>1500</v>
      </c>
      <c r="F103" s="9" t="s">
        <v>50</v>
      </c>
      <c r="G103" s="34"/>
      <c r="H103" s="156"/>
      <c r="I103" s="176">
        <f t="shared" si="4"/>
        <v>0</v>
      </c>
      <c r="J103" s="207">
        <f t="shared" si="5"/>
        <v>0</v>
      </c>
      <c r="L103" s="178"/>
      <c r="M103" s="178"/>
    </row>
    <row r="104" spans="1:13" s="13" customFormat="1" x14ac:dyDescent="0.2">
      <c r="A104" s="79" t="s">
        <v>8</v>
      </c>
      <c r="B104" s="80" t="s">
        <v>9</v>
      </c>
      <c r="C104" s="150" t="s">
        <v>268</v>
      </c>
      <c r="D104" s="11" t="s">
        <v>145</v>
      </c>
      <c r="E104" s="12">
        <f>3*14*2</f>
        <v>84</v>
      </c>
      <c r="F104" s="9" t="s">
        <v>50</v>
      </c>
      <c r="G104" s="34"/>
      <c r="H104" s="156"/>
      <c r="I104" s="176">
        <f t="shared" si="4"/>
        <v>0</v>
      </c>
      <c r="J104" s="207">
        <f t="shared" si="5"/>
        <v>0</v>
      </c>
      <c r="L104" s="178"/>
      <c r="M104" s="178"/>
    </row>
    <row r="105" spans="1:13" s="13" customFormat="1" x14ac:dyDescent="0.2">
      <c r="A105" s="79" t="s">
        <v>8</v>
      </c>
      <c r="B105" s="80" t="s">
        <v>9</v>
      </c>
      <c r="C105" s="150" t="s">
        <v>269</v>
      </c>
      <c r="D105" s="11" t="s">
        <v>195</v>
      </c>
      <c r="E105" s="12">
        <f>2*14</f>
        <v>28</v>
      </c>
      <c r="F105" s="9" t="s">
        <v>77</v>
      </c>
      <c r="G105" s="34"/>
      <c r="H105" s="156"/>
      <c r="I105" s="176">
        <f t="shared" si="4"/>
        <v>0</v>
      </c>
      <c r="J105" s="207">
        <f t="shared" si="5"/>
        <v>0</v>
      </c>
      <c r="L105" s="178"/>
      <c r="M105" s="178"/>
    </row>
    <row r="106" spans="1:13" s="13" customFormat="1" x14ac:dyDescent="0.2">
      <c r="A106" s="79" t="s">
        <v>8</v>
      </c>
      <c r="B106" s="80" t="s">
        <v>9</v>
      </c>
      <c r="C106" s="150" t="s">
        <v>12</v>
      </c>
      <c r="D106" s="115" t="s">
        <v>155</v>
      </c>
      <c r="E106" s="12">
        <v>1</v>
      </c>
      <c r="F106" s="9" t="s">
        <v>135</v>
      </c>
      <c r="G106" s="34"/>
      <c r="H106" s="156"/>
      <c r="I106" s="176">
        <f t="shared" si="4"/>
        <v>0</v>
      </c>
      <c r="J106" s="207">
        <f t="shared" si="5"/>
        <v>0</v>
      </c>
      <c r="L106" s="178"/>
      <c r="M106" s="178"/>
    </row>
    <row r="107" spans="1:13" s="13" customFormat="1" ht="45" x14ac:dyDescent="0.2">
      <c r="A107" s="79"/>
      <c r="B107" s="80"/>
      <c r="C107" s="150"/>
      <c r="D107" s="88" t="s">
        <v>156</v>
      </c>
      <c r="E107" s="12"/>
      <c r="F107" s="9"/>
      <c r="G107" s="34"/>
      <c r="H107" s="156"/>
      <c r="I107" s="176" t="str">
        <f t="shared" si="4"/>
        <v/>
      </c>
      <c r="J107" s="207" t="str">
        <f t="shared" si="5"/>
        <v/>
      </c>
      <c r="L107" s="178"/>
      <c r="M107" s="178"/>
    </row>
    <row r="108" spans="1:13" s="13" customFormat="1" x14ac:dyDescent="0.2">
      <c r="A108" s="79" t="s">
        <v>8</v>
      </c>
      <c r="B108" s="80" t="s">
        <v>9</v>
      </c>
      <c r="C108" s="150" t="s">
        <v>13</v>
      </c>
      <c r="D108" s="115" t="s">
        <v>25</v>
      </c>
      <c r="E108" s="12">
        <f>354*2.4+0.4</f>
        <v>850</v>
      </c>
      <c r="F108" s="9" t="s">
        <v>61</v>
      </c>
      <c r="G108" s="34"/>
      <c r="H108" s="156"/>
      <c r="I108" s="176">
        <f t="shared" si="4"/>
        <v>0</v>
      </c>
      <c r="J108" s="207">
        <f t="shared" si="5"/>
        <v>0</v>
      </c>
      <c r="L108" s="178"/>
      <c r="M108" s="178"/>
    </row>
    <row r="109" spans="1:13" s="13" customFormat="1" ht="22.5" x14ac:dyDescent="0.2">
      <c r="A109" s="79"/>
      <c r="B109" s="80"/>
      <c r="C109" s="150"/>
      <c r="D109" s="88" t="s">
        <v>27</v>
      </c>
      <c r="E109" s="12"/>
      <c r="F109" s="9"/>
      <c r="G109" s="34"/>
      <c r="H109" s="156"/>
      <c r="I109" s="176" t="str">
        <f t="shared" si="4"/>
        <v/>
      </c>
      <c r="J109" s="207" t="str">
        <f t="shared" si="5"/>
        <v/>
      </c>
      <c r="L109" s="178"/>
      <c r="M109" s="178"/>
    </row>
    <row r="110" spans="1:13" s="13" customFormat="1" ht="22.5" x14ac:dyDescent="0.2">
      <c r="A110" s="79"/>
      <c r="B110" s="80"/>
      <c r="C110" s="150"/>
      <c r="D110" s="99" t="s">
        <v>154</v>
      </c>
      <c r="E110" s="12"/>
      <c r="F110" s="9"/>
      <c r="G110" s="34"/>
      <c r="H110" s="156"/>
      <c r="I110" s="176" t="str">
        <f t="shared" si="4"/>
        <v/>
      </c>
      <c r="J110" s="207" t="str">
        <f t="shared" si="5"/>
        <v/>
      </c>
      <c r="L110" s="178"/>
      <c r="M110" s="178"/>
    </row>
    <row r="111" spans="1:13" s="14" customFormat="1" x14ac:dyDescent="0.2">
      <c r="A111" s="29" t="s">
        <v>8</v>
      </c>
      <c r="B111" s="103" t="s">
        <v>9</v>
      </c>
      <c r="C111" s="150" t="s">
        <v>14</v>
      </c>
      <c r="D111" s="100" t="s">
        <v>41</v>
      </c>
      <c r="E111" s="12">
        <v>0</v>
      </c>
      <c r="F111" s="9" t="s">
        <v>74</v>
      </c>
      <c r="G111" s="34"/>
      <c r="H111" s="156"/>
      <c r="I111" s="176">
        <f t="shared" si="4"/>
        <v>0</v>
      </c>
      <c r="J111" s="207">
        <f t="shared" si="5"/>
        <v>0</v>
      </c>
      <c r="L111" s="178"/>
      <c r="M111" s="178"/>
    </row>
    <row r="112" spans="1:13" s="14" customFormat="1" ht="45" x14ac:dyDescent="0.2">
      <c r="A112" s="29"/>
      <c r="B112" s="30"/>
      <c r="C112" s="150"/>
      <c r="D112" s="124" t="s">
        <v>153</v>
      </c>
      <c r="E112" s="12"/>
      <c r="F112" s="125"/>
      <c r="G112" s="34"/>
      <c r="H112" s="156"/>
      <c r="I112" s="176" t="str">
        <f t="shared" si="4"/>
        <v/>
      </c>
      <c r="J112" s="207" t="str">
        <f t="shared" si="5"/>
        <v/>
      </c>
      <c r="L112" s="178"/>
      <c r="M112" s="178"/>
    </row>
    <row r="113" spans="1:13" s="14" customFormat="1" x14ac:dyDescent="0.2">
      <c r="A113" s="29" t="s">
        <v>8</v>
      </c>
      <c r="B113" s="103" t="s">
        <v>9</v>
      </c>
      <c r="C113" s="150" t="s">
        <v>15</v>
      </c>
      <c r="D113" s="100" t="s">
        <v>163</v>
      </c>
      <c r="E113" s="12">
        <v>1</v>
      </c>
      <c r="F113" s="9" t="s">
        <v>135</v>
      </c>
      <c r="G113" s="34"/>
      <c r="H113" s="156"/>
      <c r="I113" s="176">
        <f t="shared" si="4"/>
        <v>0</v>
      </c>
      <c r="J113" s="207">
        <f t="shared" si="5"/>
        <v>0</v>
      </c>
      <c r="L113" s="178"/>
      <c r="M113" s="178"/>
    </row>
    <row r="114" spans="1:13" s="14" customFormat="1" ht="45" x14ac:dyDescent="0.2">
      <c r="A114" s="29"/>
      <c r="B114" s="30"/>
      <c r="C114" s="150"/>
      <c r="D114" s="124" t="s">
        <v>162</v>
      </c>
      <c r="E114" s="12"/>
      <c r="F114" s="125"/>
      <c r="G114" s="34"/>
      <c r="H114" s="156"/>
      <c r="I114" s="176" t="str">
        <f t="shared" si="4"/>
        <v/>
      </c>
      <c r="J114" s="207" t="str">
        <f t="shared" si="5"/>
        <v/>
      </c>
      <c r="L114" s="178"/>
      <c r="M114" s="178"/>
    </row>
    <row r="115" spans="1:13" s="14" customFormat="1" ht="22.5" x14ac:dyDescent="0.2">
      <c r="A115" s="29"/>
      <c r="B115" s="30"/>
      <c r="C115" s="150"/>
      <c r="D115" s="124" t="s">
        <v>161</v>
      </c>
      <c r="E115" s="12"/>
      <c r="F115" s="125"/>
      <c r="G115" s="34"/>
      <c r="H115" s="156"/>
      <c r="I115" s="176" t="str">
        <f t="shared" si="4"/>
        <v/>
      </c>
      <c r="J115" s="207" t="str">
        <f t="shared" si="5"/>
        <v/>
      </c>
      <c r="L115" s="178"/>
      <c r="M115" s="178"/>
    </row>
    <row r="116" spans="1:13" x14ac:dyDescent="0.2">
      <c r="A116" s="91" t="s">
        <v>8</v>
      </c>
      <c r="B116" s="80" t="s">
        <v>9</v>
      </c>
      <c r="C116" s="150" t="s">
        <v>16</v>
      </c>
      <c r="D116" s="186" t="s">
        <v>98</v>
      </c>
      <c r="E116" s="12">
        <f>118*10/1000</f>
        <v>1.18</v>
      </c>
      <c r="F116" s="9" t="s">
        <v>74</v>
      </c>
      <c r="I116" s="176">
        <f t="shared" si="4"/>
        <v>0</v>
      </c>
      <c r="J116" s="207">
        <f t="shared" si="5"/>
        <v>0</v>
      </c>
    </row>
    <row r="117" spans="1:13" ht="45" x14ac:dyDescent="0.2">
      <c r="A117" s="91"/>
      <c r="B117" s="80"/>
      <c r="C117" s="150"/>
      <c r="D117" s="179" t="s">
        <v>158</v>
      </c>
      <c r="E117" s="189"/>
      <c r="F117" s="9"/>
      <c r="I117" s="176" t="str">
        <f t="shared" si="4"/>
        <v/>
      </c>
      <c r="J117" s="207" t="str">
        <f t="shared" si="5"/>
        <v/>
      </c>
    </row>
    <row r="118" spans="1:13" x14ac:dyDescent="0.2">
      <c r="A118" s="91" t="s">
        <v>8</v>
      </c>
      <c r="B118" s="80" t="s">
        <v>9</v>
      </c>
      <c r="C118" s="150" t="s">
        <v>63</v>
      </c>
      <c r="D118" s="186" t="s">
        <v>99</v>
      </c>
      <c r="E118" s="12">
        <v>59</v>
      </c>
      <c r="F118" s="9" t="s">
        <v>77</v>
      </c>
      <c r="I118" s="176">
        <f t="shared" si="4"/>
        <v>0</v>
      </c>
      <c r="J118" s="207">
        <f t="shared" si="5"/>
        <v>0</v>
      </c>
    </row>
    <row r="119" spans="1:13" ht="56.25" x14ac:dyDescent="0.2">
      <c r="A119" s="91"/>
      <c r="B119" s="80"/>
      <c r="C119" s="150"/>
      <c r="D119" s="179" t="s">
        <v>159</v>
      </c>
      <c r="E119" s="189"/>
      <c r="F119" s="9"/>
      <c r="I119" s="176" t="str">
        <f t="shared" si="4"/>
        <v/>
      </c>
      <c r="J119" s="207" t="str">
        <f t="shared" si="5"/>
        <v/>
      </c>
    </row>
    <row r="120" spans="1:13" ht="33.75" x14ac:dyDescent="0.2">
      <c r="A120" s="91"/>
      <c r="B120" s="80"/>
      <c r="C120" s="150"/>
      <c r="D120" s="179" t="s">
        <v>100</v>
      </c>
      <c r="E120" s="189"/>
      <c r="F120" s="9"/>
      <c r="I120" s="176" t="str">
        <f t="shared" si="4"/>
        <v/>
      </c>
      <c r="J120" s="207" t="str">
        <f t="shared" si="5"/>
        <v/>
      </c>
    </row>
    <row r="121" spans="1:13" s="13" customFormat="1" x14ac:dyDescent="0.2">
      <c r="A121" s="79" t="s">
        <v>8</v>
      </c>
      <c r="B121" s="80" t="s">
        <v>9</v>
      </c>
      <c r="C121" s="150" t="s">
        <v>64</v>
      </c>
      <c r="D121" s="120" t="s">
        <v>165</v>
      </c>
      <c r="E121" s="12"/>
      <c r="F121" s="9"/>
      <c r="G121" s="34"/>
      <c r="H121" s="156"/>
      <c r="I121" s="176" t="str">
        <f t="shared" si="4"/>
        <v/>
      </c>
      <c r="J121" s="207" t="str">
        <f t="shared" si="5"/>
        <v/>
      </c>
      <c r="L121" s="178"/>
      <c r="M121" s="178"/>
    </row>
    <row r="122" spans="1:13" s="13" customFormat="1" ht="45" x14ac:dyDescent="0.2">
      <c r="A122" s="91"/>
      <c r="B122" s="80"/>
      <c r="C122" s="150"/>
      <c r="D122" s="8" t="s">
        <v>169</v>
      </c>
      <c r="E122" s="12"/>
      <c r="F122" s="9"/>
      <c r="G122" s="34"/>
      <c r="H122" s="156"/>
      <c r="I122" s="176" t="str">
        <f t="shared" si="4"/>
        <v/>
      </c>
      <c r="J122" s="207" t="str">
        <f t="shared" si="5"/>
        <v/>
      </c>
      <c r="L122" s="178"/>
      <c r="M122" s="178"/>
    </row>
    <row r="123" spans="1:13" s="13" customFormat="1" x14ac:dyDescent="0.2">
      <c r="A123" s="79" t="s">
        <v>8</v>
      </c>
      <c r="B123" s="80" t="s">
        <v>9</v>
      </c>
      <c r="C123" s="150" t="s">
        <v>270</v>
      </c>
      <c r="D123" s="88" t="s">
        <v>143</v>
      </c>
      <c r="E123" s="12">
        <v>3</v>
      </c>
      <c r="F123" s="9" t="s">
        <v>86</v>
      </c>
      <c r="G123" s="34"/>
      <c r="H123" s="156"/>
      <c r="I123" s="176">
        <f t="shared" si="4"/>
        <v>0</v>
      </c>
      <c r="J123" s="207">
        <f t="shared" si="5"/>
        <v>0</v>
      </c>
      <c r="L123" s="178"/>
      <c r="M123" s="178"/>
    </row>
    <row r="124" spans="1:13" s="13" customFormat="1" x14ac:dyDescent="0.2">
      <c r="A124" s="79" t="s">
        <v>8</v>
      </c>
      <c r="B124" s="80" t="s">
        <v>9</v>
      </c>
      <c r="C124" s="150" t="s">
        <v>271</v>
      </c>
      <c r="D124" s="11" t="s">
        <v>166</v>
      </c>
      <c r="E124" s="12">
        <v>0.3</v>
      </c>
      <c r="F124" s="9" t="s">
        <v>74</v>
      </c>
      <c r="G124" s="34"/>
      <c r="H124" s="156"/>
      <c r="I124" s="176">
        <f t="shared" si="4"/>
        <v>0</v>
      </c>
      <c r="J124" s="207">
        <f t="shared" si="5"/>
        <v>0</v>
      </c>
      <c r="L124" s="178"/>
      <c r="M124" s="178"/>
    </row>
    <row r="125" spans="1:13" s="13" customFormat="1" x14ac:dyDescent="0.2">
      <c r="A125" s="79" t="s">
        <v>8</v>
      </c>
      <c r="B125" s="80" t="s">
        <v>9</v>
      </c>
      <c r="C125" s="150" t="s">
        <v>272</v>
      </c>
      <c r="D125" s="11" t="s">
        <v>94</v>
      </c>
      <c r="E125" s="12">
        <v>18</v>
      </c>
      <c r="F125" s="9" t="s">
        <v>61</v>
      </c>
      <c r="G125" s="34"/>
      <c r="H125" s="156"/>
      <c r="I125" s="176">
        <f t="shared" si="4"/>
        <v>0</v>
      </c>
      <c r="J125" s="207">
        <f t="shared" si="5"/>
        <v>0</v>
      </c>
      <c r="L125" s="178"/>
      <c r="M125" s="178"/>
    </row>
    <row r="126" spans="1:13" s="13" customFormat="1" x14ac:dyDescent="0.2">
      <c r="A126" s="79" t="s">
        <v>8</v>
      </c>
      <c r="B126" s="80" t="s">
        <v>9</v>
      </c>
      <c r="C126" s="150" t="s">
        <v>273</v>
      </c>
      <c r="D126" s="11" t="s">
        <v>167</v>
      </c>
      <c r="E126" s="12">
        <v>0.2</v>
      </c>
      <c r="F126" s="9" t="s">
        <v>74</v>
      </c>
      <c r="G126" s="34"/>
      <c r="H126" s="156"/>
      <c r="I126" s="176">
        <f t="shared" si="4"/>
        <v>0</v>
      </c>
      <c r="J126" s="207">
        <f t="shared" si="5"/>
        <v>0</v>
      </c>
      <c r="L126" s="178"/>
      <c r="M126" s="178"/>
    </row>
    <row r="127" spans="1:13" x14ac:dyDescent="0.2">
      <c r="A127" s="79" t="s">
        <v>8</v>
      </c>
      <c r="B127" s="80" t="s">
        <v>9</v>
      </c>
      <c r="C127" s="150" t="s">
        <v>274</v>
      </c>
      <c r="D127" s="179" t="s">
        <v>168</v>
      </c>
      <c r="E127" s="12">
        <v>8</v>
      </c>
      <c r="F127" s="9" t="s">
        <v>61</v>
      </c>
      <c r="I127" s="176">
        <f t="shared" si="4"/>
        <v>0</v>
      </c>
      <c r="J127" s="207">
        <f t="shared" si="5"/>
        <v>0</v>
      </c>
    </row>
    <row r="128" spans="1:13" s="13" customFormat="1" ht="13.5" thickBot="1" x14ac:dyDescent="0.25">
      <c r="A128" s="91"/>
      <c r="B128" s="80"/>
      <c r="C128" s="140"/>
      <c r="D128" s="11"/>
      <c r="E128" s="12"/>
      <c r="F128" s="9"/>
      <c r="G128" s="34"/>
      <c r="H128" s="156"/>
      <c r="I128" s="34"/>
      <c r="J128" s="119"/>
      <c r="L128" s="178"/>
      <c r="M128" s="178"/>
    </row>
    <row r="129" spans="1:13" s="10" customFormat="1" ht="23.25" thickBot="1" x14ac:dyDescent="0.25">
      <c r="A129" s="81" t="s">
        <v>8</v>
      </c>
      <c r="B129" s="83" t="s">
        <v>9</v>
      </c>
      <c r="C129" s="153" t="s">
        <v>104</v>
      </c>
      <c r="D129" s="84" t="s">
        <v>58</v>
      </c>
      <c r="E129" s="121"/>
      <c r="F129" s="85"/>
      <c r="G129" s="114"/>
      <c r="H129" s="161"/>
      <c r="I129" s="114"/>
      <c r="J129" s="162">
        <f>SUM(J85:J127)</f>
        <v>0</v>
      </c>
      <c r="L129" s="202"/>
      <c r="M129" s="202"/>
    </row>
    <row r="130" spans="1:13" s="13" customFormat="1" x14ac:dyDescent="0.2">
      <c r="A130" s="91"/>
      <c r="B130" s="80"/>
      <c r="C130" s="150"/>
      <c r="D130" s="3"/>
      <c r="E130" s="90"/>
      <c r="F130" s="9"/>
      <c r="G130" s="34"/>
      <c r="H130" s="165"/>
      <c r="I130" s="34"/>
      <c r="J130" s="119"/>
      <c r="L130" s="178"/>
      <c r="M130" s="178"/>
    </row>
    <row r="131" spans="1:13" s="15" customFormat="1" x14ac:dyDescent="0.2">
      <c r="A131" s="92" t="s">
        <v>8</v>
      </c>
      <c r="B131" s="77" t="s">
        <v>11</v>
      </c>
      <c r="C131" s="152" t="s">
        <v>103</v>
      </c>
      <c r="D131" s="78" t="s">
        <v>30</v>
      </c>
      <c r="E131" s="86"/>
      <c r="F131" s="87"/>
      <c r="G131" s="127"/>
      <c r="H131" s="160"/>
      <c r="I131" s="113"/>
      <c r="J131" s="139"/>
      <c r="L131" s="202"/>
      <c r="M131" s="202"/>
    </row>
    <row r="132" spans="1:13" s="13" customFormat="1" x14ac:dyDescent="0.2">
      <c r="A132" s="91"/>
      <c r="B132" s="80"/>
      <c r="C132" s="150"/>
      <c r="D132" s="3"/>
      <c r="E132" s="12"/>
      <c r="F132" s="9"/>
      <c r="G132" s="116"/>
      <c r="H132" s="156"/>
      <c r="I132" s="34"/>
      <c r="J132" s="119"/>
      <c r="L132" s="178"/>
      <c r="M132" s="178"/>
    </row>
    <row r="133" spans="1:13" s="13" customFormat="1" x14ac:dyDescent="0.2">
      <c r="A133" s="91" t="s">
        <v>8</v>
      </c>
      <c r="B133" s="80" t="s">
        <v>11</v>
      </c>
      <c r="C133" s="150" t="s">
        <v>113</v>
      </c>
      <c r="D133" s="111" t="s">
        <v>75</v>
      </c>
      <c r="E133" s="12"/>
      <c r="F133" s="9"/>
      <c r="G133" s="116"/>
      <c r="H133" s="156"/>
      <c r="I133" s="34"/>
      <c r="J133" s="119"/>
      <c r="L133" s="178"/>
      <c r="M133" s="178"/>
    </row>
    <row r="134" spans="1:13" s="13" customFormat="1" ht="45" x14ac:dyDescent="0.2">
      <c r="A134" s="91"/>
      <c r="B134" s="80"/>
      <c r="C134" s="150"/>
      <c r="D134" s="8" t="s">
        <v>31</v>
      </c>
      <c r="E134" s="12"/>
      <c r="F134" s="9"/>
      <c r="G134" s="116"/>
      <c r="H134" s="156"/>
      <c r="I134" s="34"/>
      <c r="J134" s="119"/>
      <c r="L134" s="178"/>
      <c r="M134" s="178"/>
    </row>
    <row r="135" spans="1:13" s="13" customFormat="1" ht="56.25" x14ac:dyDescent="0.2">
      <c r="A135" s="91"/>
      <c r="B135" s="80"/>
      <c r="C135" s="150"/>
      <c r="D135" s="8" t="s">
        <v>37</v>
      </c>
      <c r="E135" s="90"/>
      <c r="F135" s="9"/>
      <c r="G135" s="34"/>
      <c r="H135" s="165"/>
      <c r="I135" s="34"/>
      <c r="J135" s="119"/>
      <c r="L135" s="178"/>
      <c r="M135" s="178"/>
    </row>
    <row r="136" spans="1:13" s="13" customFormat="1" x14ac:dyDescent="0.2">
      <c r="A136" s="91"/>
      <c r="B136" s="80"/>
      <c r="C136" s="150"/>
      <c r="D136" s="8"/>
      <c r="E136" s="12"/>
      <c r="F136" s="9"/>
      <c r="G136" s="116"/>
      <c r="H136" s="156"/>
      <c r="I136" s="34"/>
      <c r="J136" s="119"/>
      <c r="L136" s="178"/>
      <c r="M136" s="178"/>
    </row>
    <row r="137" spans="1:13" s="13" customFormat="1" x14ac:dyDescent="0.2">
      <c r="A137" s="79" t="s">
        <v>8</v>
      </c>
      <c r="B137" s="80" t="s">
        <v>11</v>
      </c>
      <c r="C137" s="150" t="s">
        <v>8</v>
      </c>
      <c r="D137" s="115" t="s">
        <v>34</v>
      </c>
      <c r="E137" s="12">
        <f>(11.5*31*2*15 + 2*50)/1000</f>
        <v>10.795</v>
      </c>
      <c r="F137" s="9" t="s">
        <v>74</v>
      </c>
      <c r="G137" s="34"/>
      <c r="H137" s="156"/>
      <c r="I137" s="176">
        <f>IF(ISBLANK(E137),"",G137+H137)</f>
        <v>0</v>
      </c>
      <c r="J137" s="207">
        <f>IF(ISBLANK(E137),"",E137*I137)</f>
        <v>0</v>
      </c>
      <c r="L137" s="178"/>
      <c r="M137" s="178"/>
    </row>
    <row r="138" spans="1:13" s="13" customFormat="1" ht="22.5" x14ac:dyDescent="0.2">
      <c r="A138" s="79"/>
      <c r="B138" s="80"/>
      <c r="C138" s="150"/>
      <c r="D138" s="11" t="s">
        <v>164</v>
      </c>
      <c r="E138" s="12"/>
      <c r="F138" s="9"/>
      <c r="G138" s="34"/>
      <c r="H138" s="156"/>
      <c r="I138" s="176" t="str">
        <f t="shared" ref="I138:I163" si="6">IF(ISBLANK(E138),"",G138+H138)</f>
        <v/>
      </c>
      <c r="J138" s="207" t="str">
        <f t="shared" ref="J138:J163" si="7">IF(ISBLANK(E138),"",E138*I138)</f>
        <v/>
      </c>
      <c r="L138" s="178"/>
      <c r="M138" s="178"/>
    </row>
    <row r="139" spans="1:13" s="13" customFormat="1" ht="22.5" x14ac:dyDescent="0.2">
      <c r="A139" s="79"/>
      <c r="B139" s="80"/>
      <c r="C139" s="150"/>
      <c r="D139" s="11" t="s">
        <v>22</v>
      </c>
      <c r="E139" s="12"/>
      <c r="F139" s="9"/>
      <c r="G139" s="34"/>
      <c r="H139" s="156"/>
      <c r="I139" s="176" t="str">
        <f t="shared" si="6"/>
        <v/>
      </c>
      <c r="J139" s="207" t="str">
        <f t="shared" si="7"/>
        <v/>
      </c>
      <c r="L139" s="178"/>
      <c r="M139" s="178"/>
    </row>
    <row r="140" spans="1:13" s="13" customFormat="1" x14ac:dyDescent="0.2">
      <c r="A140" s="79"/>
      <c r="B140" s="80"/>
      <c r="C140" s="150"/>
      <c r="D140" s="11" t="s">
        <v>39</v>
      </c>
      <c r="E140" s="12"/>
      <c r="F140" s="9"/>
      <c r="G140" s="34"/>
      <c r="H140" s="156"/>
      <c r="I140" s="176" t="str">
        <f t="shared" si="6"/>
        <v/>
      </c>
      <c r="J140" s="207" t="str">
        <f t="shared" si="7"/>
        <v/>
      </c>
      <c r="L140" s="178"/>
      <c r="M140" s="178"/>
    </row>
    <row r="141" spans="1:13" s="13" customFormat="1" ht="22.5" x14ac:dyDescent="0.2">
      <c r="A141" s="79"/>
      <c r="B141" s="80"/>
      <c r="C141" s="150"/>
      <c r="D141" s="11" t="s">
        <v>29</v>
      </c>
      <c r="E141" s="12"/>
      <c r="F141" s="9"/>
      <c r="G141" s="34"/>
      <c r="H141" s="156"/>
      <c r="I141" s="176" t="str">
        <f t="shared" si="6"/>
        <v/>
      </c>
      <c r="J141" s="207" t="str">
        <f t="shared" si="7"/>
        <v/>
      </c>
      <c r="L141" s="178"/>
      <c r="M141" s="178"/>
    </row>
    <row r="142" spans="1:13" s="13" customFormat="1" x14ac:dyDescent="0.2">
      <c r="A142" s="91" t="s">
        <v>8</v>
      </c>
      <c r="B142" s="80" t="s">
        <v>11</v>
      </c>
      <c r="C142" s="150" t="s">
        <v>9</v>
      </c>
      <c r="D142" s="100" t="s">
        <v>149</v>
      </c>
      <c r="E142" s="12">
        <v>1</v>
      </c>
      <c r="F142" s="9" t="s">
        <v>135</v>
      </c>
      <c r="G142" s="34"/>
      <c r="H142" s="156"/>
      <c r="I142" s="176">
        <f t="shared" si="6"/>
        <v>0</v>
      </c>
      <c r="J142" s="207">
        <f t="shared" si="7"/>
        <v>0</v>
      </c>
      <c r="L142" s="178"/>
      <c r="M142" s="178"/>
    </row>
    <row r="143" spans="1:13" s="13" customFormat="1" ht="33.75" x14ac:dyDescent="0.2">
      <c r="A143" s="79"/>
      <c r="B143" s="80"/>
      <c r="C143" s="150"/>
      <c r="D143" s="8" t="s">
        <v>150</v>
      </c>
      <c r="E143" s="12"/>
      <c r="F143" s="9"/>
      <c r="G143" s="34"/>
      <c r="H143" s="156"/>
      <c r="I143" s="176" t="str">
        <f t="shared" si="6"/>
        <v/>
      </c>
      <c r="J143" s="207" t="str">
        <f t="shared" si="7"/>
        <v/>
      </c>
      <c r="L143" s="178"/>
      <c r="M143" s="178"/>
    </row>
    <row r="144" spans="1:13" s="13" customFormat="1" x14ac:dyDescent="0.2">
      <c r="A144" s="79"/>
      <c r="B144" s="80"/>
      <c r="C144" s="150"/>
      <c r="D144" s="8" t="s">
        <v>26</v>
      </c>
      <c r="E144" s="12"/>
      <c r="F144" s="9"/>
      <c r="G144" s="34"/>
      <c r="H144" s="156"/>
      <c r="I144" s="176" t="str">
        <f t="shared" si="6"/>
        <v/>
      </c>
      <c r="J144" s="207" t="str">
        <f t="shared" si="7"/>
        <v/>
      </c>
      <c r="L144" s="178"/>
      <c r="M144" s="178"/>
    </row>
    <row r="145" spans="1:13" s="13" customFormat="1" x14ac:dyDescent="0.2">
      <c r="A145" s="79"/>
      <c r="B145" s="80"/>
      <c r="C145" s="150"/>
      <c r="D145" s="8" t="s">
        <v>151</v>
      </c>
      <c r="E145" s="12"/>
      <c r="F145" s="9"/>
      <c r="G145" s="34"/>
      <c r="H145" s="156"/>
      <c r="I145" s="176" t="str">
        <f t="shared" si="6"/>
        <v/>
      </c>
      <c r="J145" s="207" t="str">
        <f t="shared" si="7"/>
        <v/>
      </c>
      <c r="L145" s="178"/>
      <c r="M145" s="178"/>
    </row>
    <row r="146" spans="1:13" s="13" customFormat="1" x14ac:dyDescent="0.2">
      <c r="A146" s="91" t="s">
        <v>8</v>
      </c>
      <c r="B146" s="80" t="s">
        <v>11</v>
      </c>
      <c r="C146" s="150" t="s">
        <v>11</v>
      </c>
      <c r="D146" s="115" t="s">
        <v>115</v>
      </c>
      <c r="E146" s="12">
        <f>4*31*15*2 + 15*2</f>
        <v>3750</v>
      </c>
      <c r="F146" s="9" t="s">
        <v>77</v>
      </c>
      <c r="G146" s="34"/>
      <c r="H146" s="156"/>
      <c r="I146" s="176">
        <f t="shared" si="6"/>
        <v>0</v>
      </c>
      <c r="J146" s="207">
        <f t="shared" si="7"/>
        <v>0</v>
      </c>
      <c r="L146" s="178"/>
      <c r="M146" s="178"/>
    </row>
    <row r="147" spans="1:13" s="13" customFormat="1" ht="22.5" x14ac:dyDescent="0.2">
      <c r="A147" s="91"/>
      <c r="B147" s="80"/>
      <c r="C147" s="150"/>
      <c r="D147" s="8" t="s">
        <v>116</v>
      </c>
      <c r="E147" s="12"/>
      <c r="F147" s="9"/>
      <c r="G147" s="116"/>
      <c r="H147" s="156"/>
      <c r="I147" s="176" t="str">
        <f t="shared" si="6"/>
        <v/>
      </c>
      <c r="J147" s="207" t="str">
        <f t="shared" si="7"/>
        <v/>
      </c>
      <c r="L147" s="178"/>
      <c r="M147" s="178"/>
    </row>
    <row r="148" spans="1:13" s="13" customFormat="1" ht="22.5" x14ac:dyDescent="0.2">
      <c r="A148" s="91"/>
      <c r="B148" s="80"/>
      <c r="C148" s="150"/>
      <c r="D148" s="8" t="s">
        <v>118</v>
      </c>
      <c r="E148" s="12"/>
      <c r="F148" s="9"/>
      <c r="G148" s="116"/>
      <c r="H148" s="156"/>
      <c r="I148" s="176" t="str">
        <f t="shared" si="6"/>
        <v/>
      </c>
      <c r="J148" s="207" t="str">
        <f t="shared" si="7"/>
        <v/>
      </c>
      <c r="L148" s="178"/>
      <c r="M148" s="178"/>
    </row>
    <row r="149" spans="1:13" s="13" customFormat="1" x14ac:dyDescent="0.2">
      <c r="A149" s="91" t="s">
        <v>8</v>
      </c>
      <c r="B149" s="80" t="s">
        <v>11</v>
      </c>
      <c r="C149" s="150" t="s">
        <v>12</v>
      </c>
      <c r="D149" s="115" t="s">
        <v>38</v>
      </c>
      <c r="E149" s="12">
        <f>31*30+10</f>
        <v>940</v>
      </c>
      <c r="F149" s="9" t="s">
        <v>77</v>
      </c>
      <c r="G149" s="34"/>
      <c r="H149" s="156"/>
      <c r="I149" s="176">
        <f t="shared" si="6"/>
        <v>0</v>
      </c>
      <c r="J149" s="207">
        <f t="shared" si="7"/>
        <v>0</v>
      </c>
      <c r="L149" s="178"/>
      <c r="M149" s="178"/>
    </row>
    <row r="150" spans="1:13" s="13" customFormat="1" ht="33.75" x14ac:dyDescent="0.2">
      <c r="A150" s="91"/>
      <c r="B150" s="80"/>
      <c r="C150" s="150"/>
      <c r="D150" s="8" t="s">
        <v>97</v>
      </c>
      <c r="E150" s="12"/>
      <c r="F150" s="9"/>
      <c r="G150" s="116"/>
      <c r="H150" s="156"/>
      <c r="I150" s="176" t="str">
        <f t="shared" si="6"/>
        <v/>
      </c>
      <c r="J150" s="207" t="str">
        <f t="shared" si="7"/>
        <v/>
      </c>
      <c r="L150" s="178"/>
      <c r="M150" s="178"/>
    </row>
    <row r="151" spans="1:13" s="13" customFormat="1" x14ac:dyDescent="0.2">
      <c r="A151" s="91"/>
      <c r="B151" s="80"/>
      <c r="C151" s="150"/>
      <c r="D151" s="8" t="s">
        <v>147</v>
      </c>
      <c r="E151" s="12"/>
      <c r="F151" s="9"/>
      <c r="G151" s="116"/>
      <c r="H151" s="156"/>
      <c r="I151" s="176" t="str">
        <f t="shared" si="6"/>
        <v/>
      </c>
      <c r="J151" s="207" t="str">
        <f t="shared" si="7"/>
        <v/>
      </c>
      <c r="L151" s="178"/>
      <c r="M151" s="178"/>
    </row>
    <row r="152" spans="1:13" s="13" customFormat="1" x14ac:dyDescent="0.2">
      <c r="A152" s="91" t="s">
        <v>8</v>
      </c>
      <c r="B152" s="80" t="s">
        <v>11</v>
      </c>
      <c r="C152" s="150" t="s">
        <v>13</v>
      </c>
      <c r="D152" s="115" t="s">
        <v>30</v>
      </c>
      <c r="E152" s="12">
        <f>2*354</f>
        <v>708</v>
      </c>
      <c r="F152" s="9" t="s">
        <v>50</v>
      </c>
      <c r="G152" s="34"/>
      <c r="H152" s="156"/>
      <c r="I152" s="176">
        <f t="shared" si="6"/>
        <v>0</v>
      </c>
      <c r="J152" s="207">
        <f t="shared" si="7"/>
        <v>0</v>
      </c>
      <c r="L152" s="178"/>
      <c r="M152" s="178"/>
    </row>
    <row r="153" spans="1:13" s="13" customFormat="1" x14ac:dyDescent="0.2">
      <c r="A153" s="91"/>
      <c r="B153" s="80"/>
      <c r="C153" s="150"/>
      <c r="D153" s="8" t="s">
        <v>57</v>
      </c>
      <c r="E153" s="12"/>
      <c r="F153" s="9"/>
      <c r="G153" s="116"/>
      <c r="H153" s="156"/>
      <c r="I153" s="176" t="str">
        <f t="shared" si="6"/>
        <v/>
      </c>
      <c r="J153" s="207" t="str">
        <f t="shared" si="7"/>
        <v/>
      </c>
      <c r="L153" s="178"/>
      <c r="M153" s="178"/>
    </row>
    <row r="154" spans="1:13" s="13" customFormat="1" ht="33.75" x14ac:dyDescent="0.2">
      <c r="A154" s="91"/>
      <c r="B154" s="80"/>
      <c r="C154" s="150"/>
      <c r="D154" s="8" t="s">
        <v>119</v>
      </c>
      <c r="E154" s="12"/>
      <c r="F154" s="9"/>
      <c r="G154" s="34"/>
      <c r="H154" s="156"/>
      <c r="I154" s="176" t="str">
        <f t="shared" si="6"/>
        <v/>
      </c>
      <c r="J154" s="207" t="str">
        <f t="shared" si="7"/>
        <v/>
      </c>
      <c r="L154" s="178"/>
      <c r="M154" s="178"/>
    </row>
    <row r="155" spans="1:13" s="13" customFormat="1" ht="22.5" x14ac:dyDescent="0.2">
      <c r="A155" s="91"/>
      <c r="B155" s="80"/>
      <c r="C155" s="150"/>
      <c r="D155" s="8" t="s">
        <v>55</v>
      </c>
      <c r="E155" s="12"/>
      <c r="F155" s="9"/>
      <c r="G155" s="34"/>
      <c r="H155" s="156"/>
      <c r="I155" s="176" t="str">
        <f t="shared" si="6"/>
        <v/>
      </c>
      <c r="J155" s="207" t="str">
        <f t="shared" si="7"/>
        <v/>
      </c>
      <c r="L155" s="178"/>
      <c r="M155" s="178"/>
    </row>
    <row r="156" spans="1:13" s="13" customFormat="1" x14ac:dyDescent="0.2">
      <c r="A156" s="91"/>
      <c r="B156" s="80"/>
      <c r="C156" s="150"/>
      <c r="D156" s="8" t="s">
        <v>117</v>
      </c>
      <c r="E156" s="12"/>
      <c r="F156" s="9"/>
      <c r="G156" s="116"/>
      <c r="H156" s="156"/>
      <c r="I156" s="176" t="str">
        <f t="shared" si="6"/>
        <v/>
      </c>
      <c r="J156" s="207" t="str">
        <f t="shared" si="7"/>
        <v/>
      </c>
      <c r="L156" s="178"/>
      <c r="M156" s="178"/>
    </row>
    <row r="157" spans="1:13" s="13" customFormat="1" ht="22.5" x14ac:dyDescent="0.2">
      <c r="A157" s="91"/>
      <c r="B157" s="80"/>
      <c r="C157" s="150"/>
      <c r="D157" s="8" t="s">
        <v>36</v>
      </c>
      <c r="E157" s="12"/>
      <c r="F157" s="9"/>
      <c r="G157" s="116"/>
      <c r="H157" s="156"/>
      <c r="I157" s="176" t="str">
        <f t="shared" si="6"/>
        <v/>
      </c>
      <c r="J157" s="207" t="str">
        <f t="shared" si="7"/>
        <v/>
      </c>
      <c r="L157" s="178"/>
      <c r="M157" s="178"/>
    </row>
    <row r="158" spans="1:13" s="13" customFormat="1" x14ac:dyDescent="0.2">
      <c r="A158" s="91"/>
      <c r="B158" s="80"/>
      <c r="C158" s="150"/>
      <c r="D158" s="8" t="s">
        <v>35</v>
      </c>
      <c r="E158" s="12"/>
      <c r="F158" s="9"/>
      <c r="G158" s="34"/>
      <c r="H158" s="156"/>
      <c r="I158" s="176" t="str">
        <f t="shared" si="6"/>
        <v/>
      </c>
      <c r="J158" s="207" t="str">
        <f t="shared" si="7"/>
        <v/>
      </c>
      <c r="L158" s="178"/>
      <c r="M158" s="178"/>
    </row>
    <row r="159" spans="1:13" s="13" customFormat="1" ht="90" x14ac:dyDescent="0.2">
      <c r="A159" s="91"/>
      <c r="B159" s="80"/>
      <c r="C159" s="150"/>
      <c r="D159" s="166" t="s">
        <v>160</v>
      </c>
      <c r="E159" s="12"/>
      <c r="F159" s="9"/>
      <c r="G159" s="34"/>
      <c r="H159" s="156"/>
      <c r="I159" s="176" t="str">
        <f t="shared" si="6"/>
        <v/>
      </c>
      <c r="J159" s="207" t="str">
        <f t="shared" si="7"/>
        <v/>
      </c>
      <c r="L159" s="178"/>
      <c r="M159" s="178"/>
    </row>
    <row r="160" spans="1:13" s="13" customFormat="1" x14ac:dyDescent="0.2">
      <c r="A160" s="91" t="s">
        <v>8</v>
      </c>
      <c r="B160" s="80" t="s">
        <v>11</v>
      </c>
      <c r="C160" s="150" t="s">
        <v>14</v>
      </c>
      <c r="D160" s="115" t="s">
        <v>157</v>
      </c>
      <c r="E160" s="12">
        <f>E149</f>
        <v>940</v>
      </c>
      <c r="F160" s="9" t="s">
        <v>77</v>
      </c>
      <c r="G160" s="34"/>
      <c r="H160" s="156"/>
      <c r="I160" s="176">
        <f t="shared" si="6"/>
        <v>0</v>
      </c>
      <c r="J160" s="207">
        <f t="shared" si="7"/>
        <v>0</v>
      </c>
      <c r="L160" s="178"/>
      <c r="M160" s="178"/>
    </row>
    <row r="161" spans="1:13" s="13" customFormat="1" ht="67.5" x14ac:dyDescent="0.2">
      <c r="A161" s="91"/>
      <c r="B161" s="80"/>
      <c r="C161" s="150"/>
      <c r="D161" s="8" t="s">
        <v>148</v>
      </c>
      <c r="E161" s="12"/>
      <c r="F161" s="9"/>
      <c r="G161" s="116"/>
      <c r="H161" s="156"/>
      <c r="I161" s="176" t="str">
        <f t="shared" si="6"/>
        <v/>
      </c>
      <c r="J161" s="207" t="str">
        <f t="shared" si="7"/>
        <v/>
      </c>
      <c r="L161" s="178"/>
      <c r="M161" s="178"/>
    </row>
    <row r="162" spans="1:13" s="13" customFormat="1" x14ac:dyDescent="0.2">
      <c r="A162" s="91" t="s">
        <v>8</v>
      </c>
      <c r="B162" s="80" t="s">
        <v>11</v>
      </c>
      <c r="C162" s="150" t="s">
        <v>15</v>
      </c>
      <c r="D162" s="115" t="s">
        <v>40</v>
      </c>
      <c r="E162" s="12">
        <v>1</v>
      </c>
      <c r="F162" s="9" t="s">
        <v>135</v>
      </c>
      <c r="G162" s="34"/>
      <c r="H162" s="156"/>
      <c r="I162" s="176">
        <f t="shared" si="6"/>
        <v>0</v>
      </c>
      <c r="J162" s="207">
        <f t="shared" si="7"/>
        <v>0</v>
      </c>
      <c r="L162" s="178"/>
      <c r="M162" s="178"/>
    </row>
    <row r="163" spans="1:13" s="13" customFormat="1" ht="45" x14ac:dyDescent="0.2">
      <c r="A163" s="91"/>
      <c r="B163" s="80"/>
      <c r="C163" s="150"/>
      <c r="D163" s="8" t="s">
        <v>120</v>
      </c>
      <c r="E163" s="12"/>
      <c r="F163" s="9"/>
      <c r="G163" s="116"/>
      <c r="H163" s="156"/>
      <c r="I163" s="176" t="str">
        <f t="shared" si="6"/>
        <v/>
      </c>
      <c r="J163" s="207" t="str">
        <f t="shared" si="7"/>
        <v/>
      </c>
      <c r="L163" s="178"/>
      <c r="M163" s="178"/>
    </row>
    <row r="164" spans="1:13" s="15" customFormat="1" ht="13.5" thickBot="1" x14ac:dyDescent="0.25">
      <c r="A164" s="79"/>
      <c r="B164" s="80"/>
      <c r="C164" s="154"/>
      <c r="D164" s="6"/>
      <c r="E164" s="12"/>
      <c r="F164" s="9"/>
      <c r="G164" s="130"/>
      <c r="H164" s="156"/>
      <c r="I164" s="128"/>
      <c r="J164" s="119"/>
      <c r="L164" s="202"/>
      <c r="M164" s="202"/>
    </row>
    <row r="165" spans="1:13" s="10" customFormat="1" ht="23.25" thickBot="1" x14ac:dyDescent="0.25">
      <c r="A165" s="81" t="s">
        <v>8</v>
      </c>
      <c r="B165" s="83" t="s">
        <v>11</v>
      </c>
      <c r="C165" s="153" t="s">
        <v>104</v>
      </c>
      <c r="D165" s="84" t="s">
        <v>43</v>
      </c>
      <c r="E165" s="89"/>
      <c r="F165" s="93"/>
      <c r="G165" s="131"/>
      <c r="H165" s="161"/>
      <c r="I165" s="129"/>
      <c r="J165" s="162">
        <f>SUM(J137:J163)</f>
        <v>0</v>
      </c>
      <c r="L165" s="202"/>
      <c r="M165" s="202"/>
    </row>
    <row r="166" spans="1:13" s="10" customFormat="1" x14ac:dyDescent="0.2">
      <c r="A166" s="79"/>
      <c r="B166" s="80"/>
      <c r="C166" s="150"/>
      <c r="D166" s="7"/>
      <c r="E166" s="163"/>
      <c r="F166" s="126"/>
      <c r="G166" s="34"/>
      <c r="H166" s="156"/>
      <c r="I166" s="34"/>
      <c r="J166" s="164"/>
      <c r="L166" s="202"/>
      <c r="M166" s="202"/>
    </row>
    <row r="167" spans="1:13" s="15" customFormat="1" x14ac:dyDescent="0.2">
      <c r="A167" s="92" t="s">
        <v>8</v>
      </c>
      <c r="B167" s="77" t="s">
        <v>12</v>
      </c>
      <c r="C167" s="152" t="s">
        <v>103</v>
      </c>
      <c r="D167" s="78" t="s">
        <v>108</v>
      </c>
      <c r="E167" s="86"/>
      <c r="F167" s="87"/>
      <c r="G167" s="113"/>
      <c r="H167" s="160"/>
      <c r="I167" s="113"/>
      <c r="J167" s="139"/>
      <c r="L167" s="202"/>
      <c r="M167" s="202"/>
    </row>
    <row r="168" spans="1:13" s="13" customFormat="1" x14ac:dyDescent="0.2">
      <c r="A168" s="91"/>
      <c r="B168" s="80"/>
      <c r="C168" s="150"/>
      <c r="D168" s="123"/>
      <c r="E168" s="90"/>
      <c r="F168" s="9"/>
      <c r="G168" s="34"/>
      <c r="H168" s="165"/>
      <c r="I168" s="34"/>
      <c r="J168" s="119"/>
      <c r="L168" s="178"/>
      <c r="M168" s="178"/>
    </row>
    <row r="169" spans="1:13" s="13" customFormat="1" x14ac:dyDescent="0.2">
      <c r="A169" s="91" t="s">
        <v>8</v>
      </c>
      <c r="B169" s="80" t="s">
        <v>12</v>
      </c>
      <c r="C169" s="150" t="s">
        <v>113</v>
      </c>
      <c r="D169" s="111" t="s">
        <v>176</v>
      </c>
      <c r="E169" s="4"/>
      <c r="F169" s="9"/>
      <c r="G169" s="116"/>
      <c r="H169" s="156"/>
      <c r="I169" s="34"/>
      <c r="J169" s="119"/>
      <c r="L169" s="178"/>
      <c r="M169" s="178"/>
    </row>
    <row r="170" spans="1:13" s="13" customFormat="1" ht="33.75" x14ac:dyDescent="0.2">
      <c r="A170" s="91"/>
      <c r="B170" s="80"/>
      <c r="C170" s="150"/>
      <c r="D170" s="8" t="s">
        <v>177</v>
      </c>
      <c r="E170" s="4"/>
      <c r="F170" s="9"/>
      <c r="G170" s="116"/>
      <c r="H170" s="156"/>
      <c r="I170" s="34"/>
      <c r="J170" s="119"/>
      <c r="L170" s="178"/>
      <c r="M170" s="178"/>
    </row>
    <row r="171" spans="1:13" s="13" customFormat="1" x14ac:dyDescent="0.2">
      <c r="A171" s="91"/>
      <c r="B171" s="80"/>
      <c r="C171" s="150"/>
      <c r="D171" s="8" t="s">
        <v>178</v>
      </c>
      <c r="E171" s="4"/>
      <c r="F171" s="9"/>
      <c r="G171" s="34"/>
      <c r="H171" s="156"/>
      <c r="I171" s="34"/>
      <c r="J171" s="119"/>
      <c r="L171" s="178"/>
      <c r="M171" s="178"/>
    </row>
    <row r="172" spans="1:13" ht="22.5" x14ac:dyDescent="0.2">
      <c r="D172" s="188" t="s">
        <v>182</v>
      </c>
      <c r="E172" s="4"/>
      <c r="F172" s="9"/>
    </row>
    <row r="173" spans="1:13" ht="22.5" x14ac:dyDescent="0.2">
      <c r="D173" s="188" t="s">
        <v>183</v>
      </c>
      <c r="E173" s="4"/>
      <c r="F173" s="9"/>
    </row>
    <row r="174" spans="1:13" x14ac:dyDescent="0.2">
      <c r="A174" s="79"/>
      <c r="B174" s="80"/>
      <c r="C174" s="150"/>
      <c r="D174" s="187"/>
      <c r="E174" s="4"/>
      <c r="F174" s="9"/>
    </row>
    <row r="175" spans="1:13" x14ac:dyDescent="0.2">
      <c r="A175" s="79" t="s">
        <v>8</v>
      </c>
      <c r="B175" s="80" t="s">
        <v>12</v>
      </c>
      <c r="C175" s="150" t="s">
        <v>8</v>
      </c>
      <c r="D175" s="120" t="s">
        <v>275</v>
      </c>
      <c r="E175" s="4"/>
      <c r="F175" s="9"/>
      <c r="I175" s="176"/>
      <c r="J175" s="207"/>
      <c r="L175" s="4"/>
    </row>
    <row r="176" spans="1:13" ht="22.5" x14ac:dyDescent="0.2">
      <c r="A176" s="79" t="s">
        <v>8</v>
      </c>
      <c r="B176" s="80" t="s">
        <v>12</v>
      </c>
      <c r="C176" s="150" t="s">
        <v>184</v>
      </c>
      <c r="D176" s="88" t="s">
        <v>179</v>
      </c>
      <c r="E176" s="4">
        <f>ROUNDUP(1.35*0.4*((16*8.4 + 1*14 + 9*16.7) + 810) + 2*0.4*(50*8.4 + 1*14 + 20*16.7),-1)</f>
        <v>1220</v>
      </c>
      <c r="F176" s="9" t="s">
        <v>86</v>
      </c>
      <c r="I176" s="176">
        <f t="shared" ref="I176:I178" si="8">IF(ISBLANK(E176),"",G176+H176)</f>
        <v>0</v>
      </c>
      <c r="J176" s="207">
        <f t="shared" ref="J176:J178" si="9">IF(ISBLANK(E176),"",E176*I176)</f>
        <v>0</v>
      </c>
      <c r="L176" s="206"/>
    </row>
    <row r="177" spans="1:13" x14ac:dyDescent="0.2">
      <c r="A177" s="79" t="s">
        <v>8</v>
      </c>
      <c r="B177" s="80" t="s">
        <v>12</v>
      </c>
      <c r="C177" s="150" t="s">
        <v>186</v>
      </c>
      <c r="D177" s="88" t="s">
        <v>185</v>
      </c>
      <c r="E177" s="4">
        <f>ROUNDUP(2*1096*0.4 + 38*1.35*0.4  + 2*743*0.4 + 71*2*0.4,-1)</f>
        <v>1550</v>
      </c>
      <c r="F177" s="9" t="s">
        <v>61</v>
      </c>
      <c r="I177" s="176">
        <f t="shared" si="8"/>
        <v>0</v>
      </c>
      <c r="J177" s="207">
        <f t="shared" si="9"/>
        <v>0</v>
      </c>
    </row>
    <row r="178" spans="1:13" x14ac:dyDescent="0.2">
      <c r="A178" s="79" t="s">
        <v>8</v>
      </c>
      <c r="B178" s="80" t="s">
        <v>12</v>
      </c>
      <c r="C178" s="150" t="s">
        <v>9</v>
      </c>
      <c r="D178" s="120" t="s">
        <v>51</v>
      </c>
      <c r="E178" s="4"/>
      <c r="F178" s="9"/>
      <c r="I178" s="176" t="str">
        <f t="shared" si="8"/>
        <v/>
      </c>
      <c r="J178" s="207" t="str">
        <f t="shared" si="9"/>
        <v/>
      </c>
    </row>
    <row r="179" spans="1:13" ht="45" x14ac:dyDescent="0.2">
      <c r="D179" s="88" t="s">
        <v>52</v>
      </c>
      <c r="E179" s="4"/>
      <c r="F179" s="9"/>
      <c r="I179" s="176" t="str">
        <f t="shared" ref="I179:I193" si="10">IF(ISBLANK(E179),"",G179+H179)</f>
        <v/>
      </c>
      <c r="J179" s="207" t="str">
        <f t="shared" ref="J179:J193" si="11">IF(ISBLANK(E179),"",E179*I179)</f>
        <v/>
      </c>
    </row>
    <row r="180" spans="1:13" s="13" customFormat="1" x14ac:dyDescent="0.2">
      <c r="A180" s="91"/>
      <c r="B180" s="80"/>
      <c r="C180" s="150"/>
      <c r="D180" s="88" t="s">
        <v>181</v>
      </c>
      <c r="E180" s="12"/>
      <c r="F180" s="9"/>
      <c r="G180" s="34"/>
      <c r="H180" s="156"/>
      <c r="I180" s="176" t="str">
        <f t="shared" si="10"/>
        <v/>
      </c>
      <c r="J180" s="207" t="str">
        <f t="shared" si="11"/>
        <v/>
      </c>
      <c r="L180" s="178"/>
      <c r="M180" s="178"/>
    </row>
    <row r="181" spans="1:13" x14ac:dyDescent="0.2">
      <c r="D181" s="88" t="s">
        <v>54</v>
      </c>
      <c r="E181" s="4"/>
      <c r="F181" s="9"/>
      <c r="I181" s="176" t="str">
        <f t="shared" si="10"/>
        <v/>
      </c>
      <c r="J181" s="207" t="str">
        <f t="shared" si="11"/>
        <v/>
      </c>
    </row>
    <row r="182" spans="1:13" x14ac:dyDescent="0.2">
      <c r="D182" s="188" t="s">
        <v>276</v>
      </c>
      <c r="E182" s="4"/>
      <c r="F182" s="9"/>
      <c r="I182" s="176" t="str">
        <f t="shared" si="10"/>
        <v/>
      </c>
      <c r="J182" s="207" t="str">
        <f t="shared" si="11"/>
        <v/>
      </c>
    </row>
    <row r="183" spans="1:13" x14ac:dyDescent="0.2">
      <c r="D183" s="188" t="s">
        <v>277</v>
      </c>
      <c r="E183" s="4"/>
      <c r="F183" s="9"/>
      <c r="I183" s="176" t="str">
        <f t="shared" si="10"/>
        <v/>
      </c>
      <c r="J183" s="207" t="str">
        <f t="shared" si="11"/>
        <v/>
      </c>
    </row>
    <row r="184" spans="1:13" ht="22.5" x14ac:dyDescent="0.2">
      <c r="D184" s="11" t="s">
        <v>192</v>
      </c>
      <c r="E184" s="4"/>
      <c r="F184" s="9"/>
      <c r="I184" s="176" t="str">
        <f t="shared" si="10"/>
        <v/>
      </c>
      <c r="J184" s="207" t="str">
        <f t="shared" si="11"/>
        <v/>
      </c>
    </row>
    <row r="185" spans="1:13" x14ac:dyDescent="0.2">
      <c r="A185" s="79" t="s">
        <v>8</v>
      </c>
      <c r="B185" s="80" t="s">
        <v>12</v>
      </c>
      <c r="C185" s="150" t="s">
        <v>187</v>
      </c>
      <c r="D185" s="88" t="s">
        <v>53</v>
      </c>
      <c r="E185" s="4">
        <f>ROUNDUP(0.75*0.7*((16*8.06 + 1*13.6 + 9*16.34) + 806) + 1.5*0.7*(50*8.06 + 1*13.6 + 20*16.34),0)</f>
        <v>1356</v>
      </c>
      <c r="F185" s="9" t="s">
        <v>86</v>
      </c>
      <c r="I185" s="176">
        <f t="shared" si="10"/>
        <v>0</v>
      </c>
      <c r="J185" s="207">
        <f t="shared" si="11"/>
        <v>0</v>
      </c>
    </row>
    <row r="186" spans="1:13" x14ac:dyDescent="0.2">
      <c r="A186" s="79" t="s">
        <v>8</v>
      </c>
      <c r="B186" s="80" t="s">
        <v>12</v>
      </c>
      <c r="C186" s="150" t="s">
        <v>188</v>
      </c>
      <c r="D186" s="99" t="s">
        <v>72</v>
      </c>
      <c r="E186" s="4">
        <f>ROUNDUP(E185*0.078,0)</f>
        <v>106</v>
      </c>
      <c r="F186" s="9" t="s">
        <v>74</v>
      </c>
      <c r="I186" s="176">
        <f t="shared" si="10"/>
        <v>0</v>
      </c>
      <c r="J186" s="207">
        <f t="shared" si="11"/>
        <v>0</v>
      </c>
    </row>
    <row r="187" spans="1:13" x14ac:dyDescent="0.2">
      <c r="A187" s="79" t="s">
        <v>8</v>
      </c>
      <c r="B187" s="80" t="s">
        <v>12</v>
      </c>
      <c r="C187" s="150" t="s">
        <v>189</v>
      </c>
      <c r="D187" s="99" t="s">
        <v>94</v>
      </c>
      <c r="E187" s="4">
        <f>ROUNDUP(2*0.7*((16*8.06 + 1*13.6 + 9*16.34) + 806) + 0.75*(50*8.06 + 1*13.6 + 20*16.34 + 2*71*1.5),0)</f>
        <v>2252</v>
      </c>
      <c r="F187" s="9" t="s">
        <v>61</v>
      </c>
      <c r="I187" s="176">
        <f t="shared" si="10"/>
        <v>0</v>
      </c>
      <c r="J187" s="207">
        <f t="shared" si="11"/>
        <v>0</v>
      </c>
    </row>
    <row r="188" spans="1:13" s="13" customFormat="1" x14ac:dyDescent="0.2">
      <c r="A188" s="79" t="s">
        <v>8</v>
      </c>
      <c r="B188" s="80" t="s">
        <v>12</v>
      </c>
      <c r="C188" s="150" t="s">
        <v>190</v>
      </c>
      <c r="D188" s="11" t="s">
        <v>146</v>
      </c>
      <c r="E188" s="4">
        <f>2*(1096+743) + 2*26*0.75 + 2*71*1.5</f>
        <v>3930</v>
      </c>
      <c r="F188" s="9" t="s">
        <v>50</v>
      </c>
      <c r="G188" s="34"/>
      <c r="H188" s="156"/>
      <c r="I188" s="176">
        <f t="shared" si="10"/>
        <v>0</v>
      </c>
      <c r="J188" s="207">
        <f t="shared" si="11"/>
        <v>0</v>
      </c>
      <c r="L188" s="198"/>
      <c r="M188" s="178"/>
    </row>
    <row r="189" spans="1:13" s="13" customFormat="1" x14ac:dyDescent="0.2">
      <c r="A189" s="79" t="s">
        <v>8</v>
      </c>
      <c r="B189" s="80" t="s">
        <v>12</v>
      </c>
      <c r="C189" s="150" t="s">
        <v>191</v>
      </c>
      <c r="D189" s="11" t="s">
        <v>193</v>
      </c>
      <c r="E189" s="4">
        <f>(98*6.5+71*13)/1000</f>
        <v>1.56</v>
      </c>
      <c r="F189" s="9" t="s">
        <v>74</v>
      </c>
      <c r="G189" s="34"/>
      <c r="H189" s="156"/>
      <c r="I189" s="176">
        <f t="shared" si="10"/>
        <v>0</v>
      </c>
      <c r="J189" s="207">
        <f t="shared" si="11"/>
        <v>0</v>
      </c>
      <c r="L189" s="198"/>
      <c r="M189" s="178"/>
    </row>
    <row r="190" spans="1:13" s="104" customFormat="1" x14ac:dyDescent="0.2">
      <c r="A190" s="79" t="s">
        <v>8</v>
      </c>
      <c r="B190" s="76" t="s">
        <v>12</v>
      </c>
      <c r="C190" s="150" t="s">
        <v>11</v>
      </c>
      <c r="D190" s="100" t="s">
        <v>194</v>
      </c>
      <c r="E190" s="12">
        <f>2*30</f>
        <v>60</v>
      </c>
      <c r="F190" s="9" t="s">
        <v>77</v>
      </c>
      <c r="G190" s="116"/>
      <c r="H190" s="156"/>
      <c r="I190" s="176">
        <f t="shared" si="10"/>
        <v>0</v>
      </c>
      <c r="J190" s="207">
        <f t="shared" si="11"/>
        <v>0</v>
      </c>
      <c r="L190" s="178"/>
      <c r="M190" s="178"/>
    </row>
    <row r="191" spans="1:13" s="104" customFormat="1" ht="22.5" x14ac:dyDescent="0.2">
      <c r="A191" s="91"/>
      <c r="B191" s="80"/>
      <c r="C191" s="140"/>
      <c r="D191" s="8" t="s">
        <v>196</v>
      </c>
      <c r="E191" s="12"/>
      <c r="F191" s="9"/>
      <c r="G191" s="34"/>
      <c r="H191" s="156"/>
      <c r="I191" s="176" t="str">
        <f t="shared" si="10"/>
        <v/>
      </c>
      <c r="J191" s="207" t="str">
        <f t="shared" si="11"/>
        <v/>
      </c>
      <c r="L191" s="178"/>
      <c r="M191" s="178"/>
    </row>
    <row r="192" spans="1:13" s="104" customFormat="1" x14ac:dyDescent="0.2">
      <c r="A192" s="79" t="s">
        <v>8</v>
      </c>
      <c r="B192" s="76" t="s">
        <v>12</v>
      </c>
      <c r="C192" s="150" t="s">
        <v>12</v>
      </c>
      <c r="D192" s="100" t="s">
        <v>197</v>
      </c>
      <c r="E192" s="12">
        <v>0</v>
      </c>
      <c r="F192" s="9" t="s">
        <v>86</v>
      </c>
      <c r="G192" s="116"/>
      <c r="H192" s="156"/>
      <c r="I192" s="176">
        <f t="shared" si="10"/>
        <v>0</v>
      </c>
      <c r="J192" s="207">
        <f t="shared" si="11"/>
        <v>0</v>
      </c>
      <c r="L192" s="178"/>
      <c r="M192" s="178"/>
    </row>
    <row r="193" spans="1:13" s="104" customFormat="1" x14ac:dyDescent="0.2">
      <c r="A193" s="91"/>
      <c r="B193" s="80"/>
      <c r="C193" s="140"/>
      <c r="D193" s="8" t="s">
        <v>198</v>
      </c>
      <c r="E193" s="12"/>
      <c r="F193" s="9"/>
      <c r="G193" s="34"/>
      <c r="H193" s="156"/>
      <c r="I193" s="176" t="str">
        <f t="shared" si="10"/>
        <v/>
      </c>
      <c r="J193" s="207" t="str">
        <f t="shared" si="11"/>
        <v/>
      </c>
      <c r="L193" s="178"/>
      <c r="M193" s="178"/>
    </row>
    <row r="194" spans="1:13" ht="13.5" thickBot="1" x14ac:dyDescent="0.25">
      <c r="D194" s="88"/>
      <c r="E194" s="189"/>
    </row>
    <row r="195" spans="1:13" s="10" customFormat="1" ht="23.25" thickBot="1" x14ac:dyDescent="0.25">
      <c r="A195" s="81" t="s">
        <v>8</v>
      </c>
      <c r="B195" s="83" t="s">
        <v>12</v>
      </c>
      <c r="C195" s="153" t="s">
        <v>104</v>
      </c>
      <c r="D195" s="84" t="s">
        <v>171</v>
      </c>
      <c r="E195" s="89"/>
      <c r="F195" s="93"/>
      <c r="G195" s="190"/>
      <c r="H195" s="161"/>
      <c r="I195" s="114"/>
      <c r="J195" s="162">
        <f>SUM(J175:J193)</f>
        <v>0</v>
      </c>
      <c r="L195" s="202"/>
      <c r="M195" s="202"/>
    </row>
    <row r="196" spans="1:13" x14ac:dyDescent="0.2">
      <c r="E196" s="189"/>
    </row>
    <row r="197" spans="1:13" s="15" customFormat="1" x14ac:dyDescent="0.2">
      <c r="A197" s="92" t="s">
        <v>8</v>
      </c>
      <c r="B197" s="77" t="s">
        <v>13</v>
      </c>
      <c r="C197" s="152" t="s">
        <v>103</v>
      </c>
      <c r="D197" s="78" t="s">
        <v>109</v>
      </c>
      <c r="E197" s="86"/>
      <c r="F197" s="87"/>
      <c r="G197" s="113"/>
      <c r="H197" s="160"/>
      <c r="I197" s="113"/>
      <c r="J197" s="139"/>
      <c r="L197" s="202"/>
      <c r="M197" s="202"/>
    </row>
    <row r="198" spans="1:13" s="13" customFormat="1" x14ac:dyDescent="0.2">
      <c r="A198" s="91"/>
      <c r="B198" s="80"/>
      <c r="C198" s="150"/>
      <c r="D198" s="123"/>
      <c r="E198" s="90"/>
      <c r="F198" s="9"/>
      <c r="G198" s="34"/>
      <c r="H198" s="165"/>
      <c r="I198" s="34"/>
      <c r="J198" s="119"/>
      <c r="L198" s="178"/>
      <c r="M198" s="178"/>
    </row>
    <row r="199" spans="1:13" s="13" customFormat="1" x14ac:dyDescent="0.2">
      <c r="A199" s="91" t="s">
        <v>8</v>
      </c>
      <c r="B199" s="80" t="s">
        <v>13</v>
      </c>
      <c r="C199" s="150" t="s">
        <v>113</v>
      </c>
      <c r="D199" s="111" t="s">
        <v>253</v>
      </c>
      <c r="E199" s="4"/>
      <c r="F199" s="9"/>
      <c r="G199" s="116"/>
      <c r="H199" s="156"/>
      <c r="I199" s="34"/>
      <c r="J199" s="119"/>
      <c r="L199" s="178"/>
      <c r="M199" s="178"/>
    </row>
    <row r="200" spans="1:13" s="13" customFormat="1" ht="90" x14ac:dyDescent="0.2">
      <c r="A200" s="91"/>
      <c r="B200" s="80"/>
      <c r="C200" s="150"/>
      <c r="D200" s="8" t="s">
        <v>280</v>
      </c>
      <c r="E200" s="4"/>
      <c r="F200" s="9"/>
      <c r="G200" s="116"/>
      <c r="H200" s="156"/>
      <c r="I200" s="34"/>
      <c r="J200" s="119"/>
      <c r="L200" s="178"/>
      <c r="M200" s="178"/>
    </row>
    <row r="201" spans="1:13" x14ac:dyDescent="0.2">
      <c r="A201" s="79" t="s">
        <v>8</v>
      </c>
      <c r="B201" s="80" t="s">
        <v>13</v>
      </c>
      <c r="C201" s="150" t="s">
        <v>8</v>
      </c>
      <c r="D201" s="120" t="s">
        <v>229</v>
      </c>
      <c r="E201" s="4">
        <f>ROUNDUP((430*2.2+80*2.5)*0.9,-1)</f>
        <v>1040</v>
      </c>
      <c r="F201" s="9" t="s">
        <v>86</v>
      </c>
      <c r="I201" s="176">
        <f t="shared" ref="I201:I202" si="12">IF(ISBLANK(E201),"",G201+H201)</f>
        <v>0</v>
      </c>
      <c r="J201" s="207">
        <f t="shared" ref="J201:J202" si="13">IF(ISBLANK(E201),"",E201*I201)</f>
        <v>0</v>
      </c>
    </row>
    <row r="202" spans="1:13" x14ac:dyDescent="0.2">
      <c r="D202" s="88" t="s">
        <v>254</v>
      </c>
      <c r="E202" s="4"/>
      <c r="F202" s="9"/>
      <c r="I202" s="176" t="str">
        <f t="shared" si="12"/>
        <v/>
      </c>
      <c r="J202" s="207" t="str">
        <f t="shared" si="13"/>
        <v/>
      </c>
    </row>
    <row r="203" spans="1:13" x14ac:dyDescent="0.2">
      <c r="A203" s="237" t="s">
        <v>8</v>
      </c>
      <c r="B203" s="221" t="s">
        <v>13</v>
      </c>
      <c r="C203" s="210" t="s">
        <v>9</v>
      </c>
      <c r="D203" s="238" t="s">
        <v>62</v>
      </c>
      <c r="E203" s="4">
        <f>ROUNDUP((430*2+80*2.3)*0.05,0)</f>
        <v>53</v>
      </c>
      <c r="F203" s="240" t="s">
        <v>86</v>
      </c>
      <c r="G203" s="214"/>
      <c r="H203" s="214"/>
      <c r="I203" s="214">
        <f>SUM(G203:H203)</f>
        <v>0</v>
      </c>
      <c r="J203" s="241">
        <f>E203*I203</f>
        <v>0</v>
      </c>
      <c r="L203" s="18"/>
      <c r="M203" s="18"/>
    </row>
    <row r="204" spans="1:13" ht="22.5" x14ac:dyDescent="0.2">
      <c r="A204" s="220"/>
      <c r="B204" s="223"/>
      <c r="C204" s="210"/>
      <c r="D204" s="242" t="s">
        <v>255</v>
      </c>
      <c r="E204" s="239"/>
      <c r="F204" s="240"/>
      <c r="G204" s="243"/>
      <c r="H204" s="244"/>
      <c r="I204" s="245" t="str">
        <f t="shared" ref="I204:I207" si="14">IF(ISBLANK(E204),"",G204+H204)</f>
        <v/>
      </c>
      <c r="J204" s="246" t="str">
        <f t="shared" ref="J204:J207" si="15">IF(ISBLANK(E204),"",E204*I204)</f>
        <v/>
      </c>
      <c r="L204" s="18"/>
      <c r="M204" s="18"/>
    </row>
    <row r="205" spans="1:13" x14ac:dyDescent="0.2">
      <c r="A205" s="237"/>
      <c r="B205" s="221"/>
      <c r="C205" s="210"/>
      <c r="D205" s="242" t="s">
        <v>256</v>
      </c>
      <c r="E205" s="239"/>
      <c r="F205" s="240"/>
      <c r="G205" s="243"/>
      <c r="H205" s="244"/>
      <c r="I205" s="245" t="str">
        <f t="shared" si="14"/>
        <v/>
      </c>
      <c r="J205" s="246" t="str">
        <f t="shared" si="15"/>
        <v/>
      </c>
      <c r="L205" s="18"/>
      <c r="M205" s="18"/>
    </row>
    <row r="206" spans="1:13" x14ac:dyDescent="0.2">
      <c r="A206" s="237" t="s">
        <v>8</v>
      </c>
      <c r="B206" s="221" t="s">
        <v>13</v>
      </c>
      <c r="C206" s="210" t="s">
        <v>11</v>
      </c>
      <c r="D206" s="238" t="s">
        <v>257</v>
      </c>
      <c r="E206" s="239"/>
      <c r="F206" s="240"/>
      <c r="G206" s="243"/>
      <c r="H206" s="244"/>
      <c r="I206" s="245" t="str">
        <f t="shared" si="14"/>
        <v/>
      </c>
      <c r="J206" s="246" t="str">
        <f t="shared" si="15"/>
        <v/>
      </c>
      <c r="L206" s="18"/>
      <c r="M206" s="18"/>
    </row>
    <row r="207" spans="1:13" ht="22.5" x14ac:dyDescent="0.2">
      <c r="A207" s="237"/>
      <c r="B207" s="221"/>
      <c r="C207" s="210"/>
      <c r="D207" s="242" t="s">
        <v>279</v>
      </c>
      <c r="E207" s="239"/>
      <c r="F207" s="240"/>
      <c r="G207" s="243"/>
      <c r="H207" s="244"/>
      <c r="I207" s="245" t="str">
        <f t="shared" si="14"/>
        <v/>
      </c>
      <c r="J207" s="246" t="str">
        <f t="shared" si="15"/>
        <v/>
      </c>
      <c r="L207" s="18"/>
      <c r="M207" s="18"/>
    </row>
    <row r="208" spans="1:13" x14ac:dyDescent="0.2">
      <c r="A208" s="237" t="s">
        <v>8</v>
      </c>
      <c r="B208" s="221" t="s">
        <v>13</v>
      </c>
      <c r="C208" s="210" t="s">
        <v>263</v>
      </c>
      <c r="D208" s="242" t="s">
        <v>236</v>
      </c>
      <c r="E208" s="239">
        <f>124+48</f>
        <v>172</v>
      </c>
      <c r="F208" s="240" t="s">
        <v>86</v>
      </c>
      <c r="G208" s="214"/>
      <c r="H208" s="214"/>
      <c r="I208" s="214">
        <f>SUM(G208:H208)</f>
        <v>0</v>
      </c>
      <c r="J208" s="241">
        <f>E208*I208</f>
        <v>0</v>
      </c>
      <c r="L208" s="18"/>
      <c r="M208" s="18"/>
    </row>
    <row r="209" spans="1:13" x14ac:dyDescent="0.2">
      <c r="A209" s="237" t="s">
        <v>8</v>
      </c>
      <c r="B209" s="221" t="s">
        <v>13</v>
      </c>
      <c r="C209" s="210" t="s">
        <v>264</v>
      </c>
      <c r="D209" s="247" t="s">
        <v>237</v>
      </c>
      <c r="E209" s="239">
        <f>ROUNDUP(E208*0.12,0)</f>
        <v>21</v>
      </c>
      <c r="F209" s="240" t="s">
        <v>74</v>
      </c>
      <c r="G209" s="214"/>
      <c r="H209" s="214"/>
      <c r="I209" s="214">
        <f>SUM(G209:H209)</f>
        <v>0</v>
      </c>
      <c r="J209" s="241">
        <f>E209*I209</f>
        <v>0</v>
      </c>
      <c r="L209" s="18"/>
      <c r="M209" s="18"/>
    </row>
    <row r="210" spans="1:13" x14ac:dyDescent="0.2">
      <c r="A210" s="237" t="s">
        <v>8</v>
      </c>
      <c r="B210" s="221" t="s">
        <v>13</v>
      </c>
      <c r="C210" s="210" t="s">
        <v>265</v>
      </c>
      <c r="D210" s="247" t="s">
        <v>258</v>
      </c>
      <c r="E210" s="239">
        <f>2*(430*0.2+80*0.25) + 10</f>
        <v>222</v>
      </c>
      <c r="F210" s="240" t="s">
        <v>61</v>
      </c>
      <c r="G210" s="214"/>
      <c r="H210" s="214"/>
      <c r="I210" s="214">
        <f>SUM(G210:H210)</f>
        <v>0</v>
      </c>
      <c r="J210" s="241">
        <f>E210*I210</f>
        <v>0</v>
      </c>
      <c r="L210" s="18"/>
      <c r="M210" s="18"/>
    </row>
    <row r="211" spans="1:13" x14ac:dyDescent="0.2">
      <c r="A211" s="237" t="s">
        <v>8</v>
      </c>
      <c r="B211" s="221" t="s">
        <v>13</v>
      </c>
      <c r="C211" s="210" t="s">
        <v>12</v>
      </c>
      <c r="D211" s="238" t="s">
        <v>259</v>
      </c>
      <c r="E211" s="239"/>
      <c r="F211" s="240"/>
      <c r="G211" s="243"/>
      <c r="H211" s="244"/>
      <c r="I211" s="245" t="str">
        <f t="shared" ref="I211:I212" si="16">IF(ISBLANK(E211),"",G211+H211)</f>
        <v/>
      </c>
      <c r="J211" s="246" t="str">
        <f t="shared" ref="J211:J212" si="17">IF(ISBLANK(E211),"",E211*I211)</f>
        <v/>
      </c>
      <c r="L211" s="18"/>
      <c r="M211" s="18"/>
    </row>
    <row r="212" spans="1:13" ht="33.75" x14ac:dyDescent="0.2">
      <c r="A212" s="237"/>
      <c r="B212" s="221"/>
      <c r="C212" s="210"/>
      <c r="D212" s="242" t="s">
        <v>281</v>
      </c>
      <c r="E212" s="239"/>
      <c r="F212" s="240"/>
      <c r="G212" s="243"/>
      <c r="H212" s="244"/>
      <c r="I212" s="245" t="str">
        <f t="shared" si="16"/>
        <v/>
      </c>
      <c r="J212" s="246" t="str">
        <f t="shared" si="17"/>
        <v/>
      </c>
      <c r="L212" s="18"/>
      <c r="M212" s="18"/>
    </row>
    <row r="213" spans="1:13" x14ac:dyDescent="0.2">
      <c r="A213" s="237" t="s">
        <v>8</v>
      </c>
      <c r="B213" s="221" t="s">
        <v>13</v>
      </c>
      <c r="C213" s="210" t="s">
        <v>67</v>
      </c>
      <c r="D213" s="242" t="s">
        <v>260</v>
      </c>
      <c r="E213" s="239">
        <f>145+60</f>
        <v>205</v>
      </c>
      <c r="F213" s="240" t="s">
        <v>86</v>
      </c>
      <c r="G213" s="214"/>
      <c r="H213" s="214"/>
      <c r="I213" s="214">
        <f>SUM(G213:H213)</f>
        <v>0</v>
      </c>
      <c r="J213" s="241">
        <f>E213*I213</f>
        <v>0</v>
      </c>
      <c r="L213" s="18"/>
      <c r="M213" s="18"/>
    </row>
    <row r="214" spans="1:13" x14ac:dyDescent="0.2">
      <c r="A214" s="237" t="s">
        <v>8</v>
      </c>
      <c r="B214" s="221" t="s">
        <v>13</v>
      </c>
      <c r="C214" s="210" t="s">
        <v>68</v>
      </c>
      <c r="D214" s="247" t="s">
        <v>237</v>
      </c>
      <c r="E214" s="239">
        <f>ROUNDUP(E213*0.12,0)</f>
        <v>25</v>
      </c>
      <c r="F214" s="240" t="s">
        <v>74</v>
      </c>
      <c r="G214" s="214"/>
      <c r="H214" s="214"/>
      <c r="I214" s="214">
        <f>SUM(G214:H214)</f>
        <v>0</v>
      </c>
      <c r="J214" s="241">
        <f>E214*I214</f>
        <v>0</v>
      </c>
      <c r="L214" s="18"/>
      <c r="M214" s="18"/>
    </row>
    <row r="215" spans="1:13" x14ac:dyDescent="0.2">
      <c r="A215" s="237" t="s">
        <v>8</v>
      </c>
      <c r="B215" s="221" t="s">
        <v>13</v>
      </c>
      <c r="C215" s="210" t="s">
        <v>93</v>
      </c>
      <c r="D215" s="247" t="s">
        <v>258</v>
      </c>
      <c r="E215" s="239">
        <f>2*(145/0.2+60/0.25) + 20</f>
        <v>1950</v>
      </c>
      <c r="F215" s="240" t="s">
        <v>61</v>
      </c>
      <c r="G215" s="214"/>
      <c r="H215" s="214"/>
      <c r="I215" s="214">
        <f>SUM(G215:H215)</f>
        <v>0</v>
      </c>
      <c r="J215" s="241">
        <f>E215*I215</f>
        <v>0</v>
      </c>
      <c r="L215" s="18"/>
      <c r="M215" s="18"/>
    </row>
    <row r="216" spans="1:13" x14ac:dyDescent="0.2">
      <c r="A216" s="237" t="s">
        <v>8</v>
      </c>
      <c r="B216" s="221" t="s">
        <v>13</v>
      </c>
      <c r="C216" s="210" t="s">
        <v>32</v>
      </c>
      <c r="D216" s="247" t="s">
        <v>261</v>
      </c>
      <c r="E216" s="239">
        <f>(206+306)*2</f>
        <v>1024</v>
      </c>
      <c r="F216" s="240" t="s">
        <v>50</v>
      </c>
      <c r="G216" s="214"/>
      <c r="H216" s="214"/>
      <c r="I216" s="214">
        <f t="shared" ref="I216:I217" si="18">SUM(G216:H216)</f>
        <v>0</v>
      </c>
      <c r="J216" s="241">
        <f t="shared" ref="J216:J217" si="19">E216*I216</f>
        <v>0</v>
      </c>
      <c r="L216" s="18"/>
      <c r="M216" s="18"/>
    </row>
    <row r="217" spans="1:13" x14ac:dyDescent="0.2">
      <c r="A217" s="237" t="s">
        <v>8</v>
      </c>
      <c r="B217" s="221" t="s">
        <v>13</v>
      </c>
      <c r="C217" s="210" t="s">
        <v>56</v>
      </c>
      <c r="D217" s="247" t="s">
        <v>262</v>
      </c>
      <c r="E217" s="239">
        <v>40</v>
      </c>
      <c r="F217" s="240" t="s">
        <v>77</v>
      </c>
      <c r="G217" s="214"/>
      <c r="H217" s="214"/>
      <c r="I217" s="214">
        <f t="shared" si="18"/>
        <v>0</v>
      </c>
      <c r="J217" s="241">
        <f t="shared" si="19"/>
        <v>0</v>
      </c>
      <c r="L217" s="18"/>
      <c r="M217" s="18"/>
    </row>
    <row r="218" spans="1:13" x14ac:dyDescent="0.2">
      <c r="A218" s="237" t="s">
        <v>8</v>
      </c>
      <c r="B218" s="221" t="s">
        <v>13</v>
      </c>
      <c r="C218" s="210" t="s">
        <v>13</v>
      </c>
      <c r="D218" s="238" t="s">
        <v>282</v>
      </c>
      <c r="E218" s="239">
        <v>0</v>
      </c>
      <c r="F218" s="240" t="s">
        <v>50</v>
      </c>
      <c r="G218" s="214"/>
      <c r="H218" s="214"/>
      <c r="I218" s="214">
        <f t="shared" ref="I218" si="20">SUM(G218:H218)</f>
        <v>0</v>
      </c>
      <c r="J218" s="241">
        <f t="shared" ref="J218" si="21">E218*I218</f>
        <v>0</v>
      </c>
      <c r="L218" s="18"/>
      <c r="M218" s="18"/>
    </row>
    <row r="219" spans="1:13" x14ac:dyDescent="0.2">
      <c r="A219" s="237"/>
      <c r="B219" s="221"/>
      <c r="C219" s="210"/>
      <c r="D219" s="242" t="s">
        <v>288</v>
      </c>
      <c r="E219" s="239"/>
      <c r="F219" s="240"/>
      <c r="G219" s="243"/>
      <c r="H219" s="244"/>
      <c r="I219" s="245" t="str">
        <f t="shared" ref="I219" si="22">IF(ISBLANK(E219),"",G219+H219)</f>
        <v/>
      </c>
      <c r="J219" s="246" t="str">
        <f t="shared" ref="J219" si="23">IF(ISBLANK(E219),"",E219*I219)</f>
        <v/>
      </c>
      <c r="L219" s="18"/>
      <c r="M219" s="18"/>
    </row>
    <row r="220" spans="1:13" ht="13.5" thickBot="1" x14ac:dyDescent="0.25">
      <c r="E220" s="189"/>
    </row>
    <row r="221" spans="1:13" s="10" customFormat="1" ht="23.25" thickBot="1" x14ac:dyDescent="0.25">
      <c r="A221" s="81" t="s">
        <v>8</v>
      </c>
      <c r="B221" s="83" t="s">
        <v>13</v>
      </c>
      <c r="C221" s="153" t="s">
        <v>104</v>
      </c>
      <c r="D221" s="84" t="s">
        <v>172</v>
      </c>
      <c r="E221" s="89"/>
      <c r="F221" s="93"/>
      <c r="G221" s="190"/>
      <c r="H221" s="161"/>
      <c r="I221" s="114"/>
      <c r="J221" s="162">
        <f>SUM(J201:J219)</f>
        <v>0</v>
      </c>
      <c r="L221" s="202"/>
      <c r="M221" s="202"/>
    </row>
    <row r="222" spans="1:13" x14ac:dyDescent="0.2">
      <c r="E222" s="189"/>
    </row>
    <row r="223" spans="1:13" s="15" customFormat="1" x14ac:dyDescent="0.2">
      <c r="A223" s="92" t="s">
        <v>8</v>
      </c>
      <c r="B223" s="77" t="s">
        <v>14</v>
      </c>
      <c r="C223" s="152" t="s">
        <v>103</v>
      </c>
      <c r="D223" s="78" t="s">
        <v>111</v>
      </c>
      <c r="E223" s="86"/>
      <c r="F223" s="87"/>
      <c r="G223" s="113"/>
      <c r="H223" s="160"/>
      <c r="I223" s="113"/>
      <c r="J223" s="139"/>
      <c r="L223" s="202"/>
      <c r="M223" s="202"/>
    </row>
    <row r="224" spans="1:13" s="13" customFormat="1" x14ac:dyDescent="0.2">
      <c r="A224" s="91"/>
      <c r="B224" s="80"/>
      <c r="C224" s="150"/>
      <c r="D224" s="123"/>
      <c r="E224" s="90"/>
      <c r="F224" s="9"/>
      <c r="G224" s="34"/>
      <c r="H224" s="165"/>
      <c r="I224" s="34"/>
      <c r="J224" s="119"/>
      <c r="L224" s="178"/>
      <c r="M224" s="178"/>
    </row>
    <row r="225" spans="1:14" ht="67.5" x14ac:dyDescent="0.2">
      <c r="A225" s="79" t="s">
        <v>8</v>
      </c>
      <c r="B225" s="80" t="s">
        <v>14</v>
      </c>
      <c r="C225" s="150" t="s">
        <v>113</v>
      </c>
      <c r="D225" s="88" t="s">
        <v>246</v>
      </c>
      <c r="E225" s="4"/>
      <c r="F225" s="9"/>
    </row>
    <row r="226" spans="1:14" x14ac:dyDescent="0.2">
      <c r="A226" s="79" t="s">
        <v>8</v>
      </c>
      <c r="B226" s="80" t="s">
        <v>14</v>
      </c>
      <c r="C226" s="150" t="s">
        <v>8</v>
      </c>
      <c r="D226" s="120" t="s">
        <v>229</v>
      </c>
      <c r="E226" s="4">
        <v>160</v>
      </c>
      <c r="F226" s="9" t="s">
        <v>86</v>
      </c>
      <c r="I226" s="176">
        <f t="shared" ref="I226" si="24">IF(ISBLANK(E226),"",G226+H226)</f>
        <v>0</v>
      </c>
      <c r="J226" s="207">
        <f t="shared" ref="J226" si="25">IF(ISBLANK(E226),"",E226*I226)</f>
        <v>0</v>
      </c>
    </row>
    <row r="227" spans="1:14" x14ac:dyDescent="0.2">
      <c r="D227" s="88" t="s">
        <v>232</v>
      </c>
      <c r="E227" s="4"/>
      <c r="F227" s="9"/>
      <c r="I227" s="176" t="str">
        <f t="shared" ref="I227:I245" si="26">IF(ISBLANK(E227),"",G227+H227)</f>
        <v/>
      </c>
      <c r="J227" s="207" t="str">
        <f t="shared" ref="J227:J245" si="27">IF(ISBLANK(E227),"",E227*I227)</f>
        <v/>
      </c>
    </row>
    <row r="228" spans="1:14" x14ac:dyDescent="0.2">
      <c r="A228" s="79" t="s">
        <v>8</v>
      </c>
      <c r="B228" s="80" t="s">
        <v>14</v>
      </c>
      <c r="C228" s="150" t="s">
        <v>9</v>
      </c>
      <c r="D228" s="120" t="s">
        <v>230</v>
      </c>
      <c r="E228" s="4">
        <v>8</v>
      </c>
      <c r="F228" s="9" t="s">
        <v>77</v>
      </c>
      <c r="I228" s="176">
        <f t="shared" si="26"/>
        <v>0</v>
      </c>
      <c r="J228" s="207">
        <f t="shared" si="27"/>
        <v>0</v>
      </c>
    </row>
    <row r="229" spans="1:14" x14ac:dyDescent="0.2">
      <c r="D229" s="88" t="s">
        <v>233</v>
      </c>
      <c r="E229" s="4"/>
      <c r="F229" s="9"/>
      <c r="I229" s="176" t="str">
        <f t="shared" si="26"/>
        <v/>
      </c>
      <c r="J229" s="207" t="str">
        <f t="shared" si="27"/>
        <v/>
      </c>
    </row>
    <row r="230" spans="1:14" x14ac:dyDescent="0.2">
      <c r="A230" s="79" t="s">
        <v>8</v>
      </c>
      <c r="B230" s="80" t="s">
        <v>14</v>
      </c>
      <c r="C230" s="150" t="s">
        <v>11</v>
      </c>
      <c r="D230" s="120" t="s">
        <v>231</v>
      </c>
      <c r="E230" s="4">
        <v>8</v>
      </c>
      <c r="F230" s="9" t="s">
        <v>77</v>
      </c>
      <c r="I230" s="176">
        <f t="shared" si="26"/>
        <v>0</v>
      </c>
      <c r="J230" s="207">
        <f t="shared" si="27"/>
        <v>0</v>
      </c>
    </row>
    <row r="231" spans="1:14" ht="45" x14ac:dyDescent="0.2">
      <c r="D231" s="88" t="s">
        <v>234</v>
      </c>
      <c r="E231" s="4"/>
      <c r="F231" s="9"/>
      <c r="I231" s="176" t="str">
        <f t="shared" si="26"/>
        <v/>
      </c>
      <c r="J231" s="207" t="str">
        <f t="shared" si="27"/>
        <v/>
      </c>
    </row>
    <row r="232" spans="1:14" s="215" customFormat="1" x14ac:dyDescent="0.2">
      <c r="A232" s="208" t="s">
        <v>8</v>
      </c>
      <c r="B232" s="209" t="s">
        <v>14</v>
      </c>
      <c r="C232" s="210" t="s">
        <v>12</v>
      </c>
      <c r="D232" s="211" t="s">
        <v>235</v>
      </c>
      <c r="E232" s="212"/>
      <c r="F232" s="213"/>
      <c r="G232" s="214"/>
      <c r="H232" s="177"/>
      <c r="I232" s="176" t="str">
        <f t="shared" si="26"/>
        <v/>
      </c>
      <c r="J232" s="207" t="str">
        <f t="shared" si="27"/>
        <v/>
      </c>
    </row>
    <row r="233" spans="1:14" s="215" customFormat="1" ht="33.75" x14ac:dyDescent="0.2">
      <c r="A233" s="216"/>
      <c r="B233" s="217"/>
      <c r="C233" s="210"/>
      <c r="D233" s="218" t="s">
        <v>245</v>
      </c>
      <c r="E233" s="212"/>
      <c r="F233" s="213"/>
      <c r="G233" s="214"/>
      <c r="H233" s="177"/>
      <c r="I233" s="176" t="str">
        <f t="shared" si="26"/>
        <v/>
      </c>
      <c r="J233" s="207" t="str">
        <f t="shared" si="27"/>
        <v/>
      </c>
    </row>
    <row r="234" spans="1:14" s="215" customFormat="1" x14ac:dyDescent="0.2">
      <c r="A234" s="208" t="s">
        <v>8</v>
      </c>
      <c r="B234" s="209" t="s">
        <v>14</v>
      </c>
      <c r="C234" s="210" t="s">
        <v>67</v>
      </c>
      <c r="D234" s="219" t="s">
        <v>236</v>
      </c>
      <c r="E234" s="212">
        <v>30</v>
      </c>
      <c r="F234" s="213" t="s">
        <v>86</v>
      </c>
      <c r="G234" s="214"/>
      <c r="H234" s="177"/>
      <c r="I234" s="176">
        <f t="shared" si="26"/>
        <v>0</v>
      </c>
      <c r="J234" s="207">
        <f t="shared" si="27"/>
        <v>0</v>
      </c>
    </row>
    <row r="235" spans="1:14" s="215" customFormat="1" x14ac:dyDescent="0.2">
      <c r="A235" s="208" t="s">
        <v>8</v>
      </c>
      <c r="B235" s="209" t="s">
        <v>14</v>
      </c>
      <c r="C235" s="210" t="s">
        <v>68</v>
      </c>
      <c r="D235" s="218" t="s">
        <v>237</v>
      </c>
      <c r="E235" s="212">
        <v>2.8</v>
      </c>
      <c r="F235" s="213" t="s">
        <v>74</v>
      </c>
      <c r="G235" s="214"/>
      <c r="H235" s="177"/>
      <c r="I235" s="176">
        <f t="shared" si="26"/>
        <v>0</v>
      </c>
      <c r="J235" s="207">
        <f t="shared" si="27"/>
        <v>0</v>
      </c>
    </row>
    <row r="236" spans="1:14" s="215" customFormat="1" x14ac:dyDescent="0.2">
      <c r="A236" s="208" t="s">
        <v>8</v>
      </c>
      <c r="B236" s="209" t="s">
        <v>14</v>
      </c>
      <c r="C236" s="210" t="s">
        <v>93</v>
      </c>
      <c r="D236" s="218" t="s">
        <v>94</v>
      </c>
      <c r="E236" s="212">
        <v>80</v>
      </c>
      <c r="F236" s="213" t="s">
        <v>61</v>
      </c>
      <c r="G236" s="214"/>
      <c r="H236" s="177"/>
      <c r="I236" s="176">
        <f t="shared" si="26"/>
        <v>0</v>
      </c>
      <c r="J236" s="207">
        <f t="shared" si="27"/>
        <v>0</v>
      </c>
    </row>
    <row r="237" spans="1:14" s="215" customFormat="1" x14ac:dyDescent="0.2">
      <c r="A237" s="220" t="s">
        <v>8</v>
      </c>
      <c r="B237" s="221" t="s">
        <v>14</v>
      </c>
      <c r="C237" s="210" t="s">
        <v>13</v>
      </c>
      <c r="D237" s="211" t="s">
        <v>238</v>
      </c>
      <c r="E237" s="212">
        <v>8</v>
      </c>
      <c r="F237" s="222" t="s">
        <v>77</v>
      </c>
      <c r="G237" s="214"/>
      <c r="H237" s="177"/>
      <c r="I237" s="176">
        <f t="shared" si="26"/>
        <v>0</v>
      </c>
      <c r="J237" s="207">
        <f t="shared" si="27"/>
        <v>0</v>
      </c>
    </row>
    <row r="238" spans="1:14" s="215" customFormat="1" ht="33.75" x14ac:dyDescent="0.2">
      <c r="A238" s="220"/>
      <c r="B238" s="223"/>
      <c r="C238" s="210"/>
      <c r="D238" s="224" t="s">
        <v>239</v>
      </c>
      <c r="E238" s="212"/>
      <c r="F238" s="222"/>
      <c r="G238" s="176"/>
      <c r="H238" s="177"/>
      <c r="I238" s="176" t="str">
        <f t="shared" si="26"/>
        <v/>
      </c>
      <c r="J238" s="207" t="str">
        <f t="shared" si="27"/>
        <v/>
      </c>
    </row>
    <row r="239" spans="1:14" s="215" customFormat="1" x14ac:dyDescent="0.2">
      <c r="A239" s="220"/>
      <c r="B239" s="223"/>
      <c r="C239" s="210"/>
      <c r="D239" s="224" t="s">
        <v>240</v>
      </c>
      <c r="E239" s="212"/>
      <c r="F239" s="222"/>
      <c r="G239" s="176"/>
      <c r="H239" s="177"/>
      <c r="I239" s="176" t="str">
        <f t="shared" si="26"/>
        <v/>
      </c>
      <c r="J239" s="207" t="str">
        <f t="shared" si="27"/>
        <v/>
      </c>
    </row>
    <row r="240" spans="1:14" s="231" customFormat="1" x14ac:dyDescent="0.2">
      <c r="A240" s="225" t="s">
        <v>8</v>
      </c>
      <c r="B240" s="226" t="s">
        <v>14</v>
      </c>
      <c r="C240" s="227" t="s">
        <v>14</v>
      </c>
      <c r="D240" s="228" t="s">
        <v>242</v>
      </c>
      <c r="E240" s="229">
        <v>16</v>
      </c>
      <c r="F240" s="230" t="s">
        <v>74</v>
      </c>
      <c r="G240" s="176"/>
      <c r="H240" s="214"/>
      <c r="I240" s="176">
        <f t="shared" si="26"/>
        <v>0</v>
      </c>
      <c r="J240" s="207">
        <f t="shared" si="27"/>
        <v>0</v>
      </c>
      <c r="N240" s="215"/>
    </row>
    <row r="241" spans="1:14" s="231" customFormat="1" ht="56.25" x14ac:dyDescent="0.2">
      <c r="A241" s="232"/>
      <c r="B241" s="233"/>
      <c r="C241" s="234"/>
      <c r="D241" s="235" t="s">
        <v>241</v>
      </c>
      <c r="E241" s="229"/>
      <c r="F241" s="230"/>
      <c r="G241" s="176"/>
      <c r="H241" s="214"/>
      <c r="I241" s="176" t="str">
        <f t="shared" si="26"/>
        <v/>
      </c>
      <c r="J241" s="207" t="str">
        <f t="shared" si="27"/>
        <v/>
      </c>
      <c r="N241" s="215"/>
    </row>
    <row r="242" spans="1:14" s="231" customFormat="1" x14ac:dyDescent="0.2">
      <c r="A242" s="225" t="s">
        <v>8</v>
      </c>
      <c r="B242" s="226" t="s">
        <v>14</v>
      </c>
      <c r="C242" s="227" t="s">
        <v>15</v>
      </c>
      <c r="D242" s="228" t="s">
        <v>243</v>
      </c>
      <c r="E242" s="229">
        <v>8</v>
      </c>
      <c r="F242" s="230" t="s">
        <v>77</v>
      </c>
      <c r="G242" s="214"/>
      <c r="H242" s="214"/>
      <c r="I242" s="176">
        <f t="shared" si="26"/>
        <v>0</v>
      </c>
      <c r="J242" s="207">
        <f t="shared" si="27"/>
        <v>0</v>
      </c>
      <c r="N242" s="215"/>
    </row>
    <row r="243" spans="1:14" s="231" customFormat="1" ht="33.75" x14ac:dyDescent="0.2">
      <c r="A243" s="225"/>
      <c r="B243" s="226"/>
      <c r="C243" s="227"/>
      <c r="D243" s="236" t="s">
        <v>244</v>
      </c>
      <c r="E243" s="229"/>
      <c r="F243" s="230"/>
      <c r="G243" s="214"/>
      <c r="H243" s="214"/>
      <c r="I243" s="176" t="str">
        <f t="shared" si="26"/>
        <v/>
      </c>
      <c r="J243" s="207" t="str">
        <f t="shared" si="27"/>
        <v/>
      </c>
      <c r="N243" s="215"/>
    </row>
    <row r="244" spans="1:14" x14ac:dyDescent="0.2">
      <c r="A244" s="79" t="s">
        <v>8</v>
      </c>
      <c r="B244" s="80" t="s">
        <v>14</v>
      </c>
      <c r="C244" s="150" t="s">
        <v>16</v>
      </c>
      <c r="D244" s="120" t="s">
        <v>247</v>
      </c>
      <c r="E244" s="4">
        <v>50</v>
      </c>
      <c r="F244" s="9" t="s">
        <v>86</v>
      </c>
      <c r="I244" s="176">
        <f t="shared" si="26"/>
        <v>0</v>
      </c>
      <c r="J244" s="207">
        <f t="shared" si="27"/>
        <v>0</v>
      </c>
    </row>
    <row r="245" spans="1:14" ht="33.75" x14ac:dyDescent="0.2">
      <c r="D245" s="88" t="s">
        <v>248</v>
      </c>
      <c r="E245" s="4"/>
      <c r="F245" s="9"/>
      <c r="I245" s="176" t="str">
        <f t="shared" si="26"/>
        <v/>
      </c>
      <c r="J245" s="207" t="str">
        <f t="shared" si="27"/>
        <v/>
      </c>
    </row>
    <row r="246" spans="1:14" ht="13.5" thickBot="1" x14ac:dyDescent="0.25">
      <c r="E246" s="189"/>
    </row>
    <row r="247" spans="1:14" s="10" customFormat="1" ht="23.25" thickBot="1" x14ac:dyDescent="0.25">
      <c r="A247" s="81" t="s">
        <v>8</v>
      </c>
      <c r="B247" s="83" t="s">
        <v>14</v>
      </c>
      <c r="C247" s="153" t="s">
        <v>104</v>
      </c>
      <c r="D247" s="84" t="s">
        <v>173</v>
      </c>
      <c r="E247" s="89"/>
      <c r="F247" s="93"/>
      <c r="G247" s="190"/>
      <c r="H247" s="161"/>
      <c r="I247" s="114"/>
      <c r="J247" s="162">
        <f>SUM(J226:J245)</f>
        <v>0</v>
      </c>
      <c r="L247" s="202"/>
      <c r="M247" s="202"/>
    </row>
    <row r="248" spans="1:14" x14ac:dyDescent="0.2">
      <c r="E248" s="189"/>
    </row>
    <row r="249" spans="1:14" s="15" customFormat="1" x14ac:dyDescent="0.2">
      <c r="A249" s="92" t="s">
        <v>8</v>
      </c>
      <c r="B249" s="77" t="s">
        <v>15</v>
      </c>
      <c r="C249" s="152" t="s">
        <v>103</v>
      </c>
      <c r="D249" s="78" t="s">
        <v>227</v>
      </c>
      <c r="E249" s="86"/>
      <c r="F249" s="87"/>
      <c r="G249" s="113"/>
      <c r="H249" s="160"/>
      <c r="I249" s="113"/>
      <c r="J249" s="139"/>
      <c r="L249" s="202"/>
      <c r="M249" s="202"/>
    </row>
    <row r="250" spans="1:14" s="13" customFormat="1" x14ac:dyDescent="0.2">
      <c r="A250" s="91"/>
      <c r="B250" s="80"/>
      <c r="C250" s="150"/>
      <c r="D250" s="123"/>
      <c r="E250" s="90"/>
      <c r="F250" s="9"/>
      <c r="G250" s="34"/>
      <c r="H250" s="165"/>
      <c r="I250" s="34"/>
      <c r="J250" s="119"/>
      <c r="L250" s="178"/>
      <c r="M250" s="178"/>
    </row>
    <row r="251" spans="1:14" s="13" customFormat="1" x14ac:dyDescent="0.2">
      <c r="A251" s="79" t="s">
        <v>8</v>
      </c>
      <c r="B251" s="80" t="s">
        <v>15</v>
      </c>
      <c r="C251" s="150" t="s">
        <v>113</v>
      </c>
      <c r="D251" s="120" t="s">
        <v>202</v>
      </c>
      <c r="E251" s="90"/>
      <c r="F251" s="9"/>
      <c r="G251" s="34"/>
      <c r="H251" s="165"/>
      <c r="I251" s="34"/>
      <c r="J251" s="119"/>
      <c r="L251" s="178"/>
      <c r="M251" s="178"/>
    </row>
    <row r="252" spans="1:14" s="13" customFormat="1" ht="33.75" x14ac:dyDescent="0.2">
      <c r="A252" s="91"/>
      <c r="B252" s="80"/>
      <c r="C252" s="150"/>
      <c r="D252" s="99" t="s">
        <v>203</v>
      </c>
      <c r="E252" s="90"/>
      <c r="F252" s="9"/>
      <c r="G252" s="34"/>
      <c r="H252" s="165"/>
      <c r="I252" s="34"/>
      <c r="J252" s="119"/>
      <c r="L252" s="178"/>
      <c r="M252" s="178"/>
    </row>
    <row r="253" spans="1:14" s="13" customFormat="1" x14ac:dyDescent="0.2">
      <c r="A253" s="91"/>
      <c r="B253" s="80"/>
      <c r="C253" s="150"/>
      <c r="D253" s="99"/>
      <c r="E253" s="90"/>
      <c r="F253" s="9"/>
      <c r="G253" s="34"/>
      <c r="H253" s="165"/>
      <c r="I253" s="34"/>
      <c r="J253" s="119"/>
      <c r="L253" s="178"/>
      <c r="M253" s="178"/>
    </row>
    <row r="254" spans="1:14" s="13" customFormat="1" x14ac:dyDescent="0.2">
      <c r="A254" s="79" t="s">
        <v>8</v>
      </c>
      <c r="B254" s="80" t="s">
        <v>15</v>
      </c>
      <c r="C254" s="150" t="s">
        <v>8</v>
      </c>
      <c r="D254" s="120" t="s">
        <v>199</v>
      </c>
      <c r="E254" s="90"/>
      <c r="F254" s="9"/>
      <c r="G254" s="34"/>
      <c r="H254" s="165"/>
      <c r="I254" s="176" t="str">
        <f t="shared" ref="I254" si="28">IF(ISBLANK(E254),"",G254+H254)</f>
        <v/>
      </c>
      <c r="J254" s="207" t="str">
        <f t="shared" ref="J254" si="29">IF(ISBLANK(E254),"",E254*I254)</f>
        <v/>
      </c>
      <c r="L254" s="178"/>
      <c r="M254" s="178"/>
    </row>
    <row r="255" spans="1:14" s="13" customFormat="1" ht="45" x14ac:dyDescent="0.2">
      <c r="A255" s="91"/>
      <c r="B255" s="80"/>
      <c r="C255" s="150"/>
      <c r="D255" s="99" t="s">
        <v>201</v>
      </c>
      <c r="E255" s="4"/>
      <c r="F255" s="9"/>
      <c r="G255" s="34"/>
      <c r="H255" s="165"/>
      <c r="I255" s="176" t="str">
        <f t="shared" ref="I255:I270" si="30">IF(ISBLANK(E255),"",G255+H255)</f>
        <v/>
      </c>
      <c r="J255" s="207" t="str">
        <f t="shared" ref="J255:J270" si="31">IF(ISBLANK(E255),"",E255*I255)</f>
        <v/>
      </c>
      <c r="L255" s="178"/>
      <c r="M255" s="178"/>
    </row>
    <row r="256" spans="1:14" s="13" customFormat="1" x14ac:dyDescent="0.2">
      <c r="A256" s="79" t="s">
        <v>8</v>
      </c>
      <c r="B256" s="80" t="s">
        <v>15</v>
      </c>
      <c r="C256" s="150" t="s">
        <v>184</v>
      </c>
      <c r="D256" s="99" t="s">
        <v>220</v>
      </c>
      <c r="E256" s="4">
        <f>19.5*4.2*0.2</f>
        <v>16.380000000000003</v>
      </c>
      <c r="F256" s="9" t="s">
        <v>86</v>
      </c>
      <c r="G256" s="34"/>
      <c r="H256" s="165"/>
      <c r="I256" s="176">
        <f t="shared" si="30"/>
        <v>0</v>
      </c>
      <c r="J256" s="207">
        <f t="shared" si="31"/>
        <v>0</v>
      </c>
      <c r="L256" s="178"/>
      <c r="M256" s="178"/>
    </row>
    <row r="257" spans="1:13" s="13" customFormat="1" x14ac:dyDescent="0.2">
      <c r="A257" s="79" t="s">
        <v>8</v>
      </c>
      <c r="B257" s="80" t="s">
        <v>15</v>
      </c>
      <c r="C257" s="150" t="s">
        <v>186</v>
      </c>
      <c r="D257" s="99" t="s">
        <v>209</v>
      </c>
      <c r="E257" s="4">
        <f>19*3.8*0.05</f>
        <v>3.6100000000000003</v>
      </c>
      <c r="F257" s="9" t="s">
        <v>86</v>
      </c>
      <c r="G257" s="34"/>
      <c r="H257" s="165"/>
      <c r="I257" s="176">
        <f t="shared" si="30"/>
        <v>0</v>
      </c>
      <c r="J257" s="207">
        <f t="shared" si="31"/>
        <v>0</v>
      </c>
      <c r="L257" s="178"/>
      <c r="M257" s="178"/>
    </row>
    <row r="258" spans="1:13" s="13" customFormat="1" x14ac:dyDescent="0.2">
      <c r="A258" s="79" t="s">
        <v>8</v>
      </c>
      <c r="B258" s="80" t="s">
        <v>15</v>
      </c>
      <c r="C258" s="150" t="s">
        <v>212</v>
      </c>
      <c r="D258" s="99" t="s">
        <v>204</v>
      </c>
      <c r="E258" s="4">
        <f>3.64*18.84*0.2</f>
        <v>13.715520000000001</v>
      </c>
      <c r="F258" s="9" t="s">
        <v>86</v>
      </c>
      <c r="G258" s="34"/>
      <c r="H258" s="165"/>
      <c r="I258" s="176">
        <f t="shared" si="30"/>
        <v>0</v>
      </c>
      <c r="J258" s="207">
        <f t="shared" si="31"/>
        <v>0</v>
      </c>
      <c r="L258" s="178"/>
      <c r="M258" s="178"/>
    </row>
    <row r="259" spans="1:13" s="13" customFormat="1" x14ac:dyDescent="0.2">
      <c r="A259" s="79" t="s">
        <v>8</v>
      </c>
      <c r="B259" s="80" t="s">
        <v>15</v>
      </c>
      <c r="C259" s="150" t="s">
        <v>213</v>
      </c>
      <c r="D259" s="99" t="s">
        <v>209</v>
      </c>
      <c r="E259" s="4">
        <f>(18.04*3.04-8*1.2)*0.1</f>
        <v>4.5241600000000002</v>
      </c>
      <c r="F259" s="9" t="s">
        <v>86</v>
      </c>
      <c r="G259" s="34"/>
      <c r="H259" s="165"/>
      <c r="I259" s="176">
        <f t="shared" si="30"/>
        <v>0</v>
      </c>
      <c r="J259" s="207">
        <f t="shared" si="31"/>
        <v>0</v>
      </c>
      <c r="L259" s="178"/>
      <c r="M259" s="178"/>
    </row>
    <row r="260" spans="1:13" s="13" customFormat="1" x14ac:dyDescent="0.2">
      <c r="A260" s="79" t="s">
        <v>8</v>
      </c>
      <c r="B260" s="80" t="s">
        <v>15</v>
      </c>
      <c r="C260" s="150" t="s">
        <v>214</v>
      </c>
      <c r="D260" s="99" t="s">
        <v>205</v>
      </c>
      <c r="E260" s="4">
        <f>18.84*1.03*0.3*2 + 3.04*1.03*0.4*2</f>
        <v>14.14808</v>
      </c>
      <c r="F260" s="9" t="s">
        <v>86</v>
      </c>
      <c r="G260" s="34"/>
      <c r="H260" s="165"/>
      <c r="I260" s="176">
        <f t="shared" si="30"/>
        <v>0</v>
      </c>
      <c r="J260" s="207">
        <f t="shared" si="31"/>
        <v>0</v>
      </c>
      <c r="L260" s="178"/>
      <c r="M260" s="178"/>
    </row>
    <row r="261" spans="1:13" s="13" customFormat="1" x14ac:dyDescent="0.2">
      <c r="A261" s="79" t="s">
        <v>8</v>
      </c>
      <c r="B261" s="80" t="s">
        <v>15</v>
      </c>
      <c r="C261" s="150" t="s">
        <v>215</v>
      </c>
      <c r="D261" s="99" t="s">
        <v>207</v>
      </c>
      <c r="E261" s="4">
        <f>(1*1.2*0.71-0.5*0.4*0.25)*8</f>
        <v>6.4159999999999995</v>
      </c>
      <c r="F261" s="9" t="s">
        <v>86</v>
      </c>
      <c r="G261" s="34"/>
      <c r="H261" s="165"/>
      <c r="I261" s="176">
        <f t="shared" si="30"/>
        <v>0</v>
      </c>
      <c r="J261" s="207">
        <f t="shared" si="31"/>
        <v>0</v>
      </c>
      <c r="L261" s="178"/>
      <c r="M261" s="178"/>
    </row>
    <row r="262" spans="1:13" s="13" customFormat="1" x14ac:dyDescent="0.2">
      <c r="A262" s="79" t="s">
        <v>8</v>
      </c>
      <c r="B262" s="80" t="s">
        <v>15</v>
      </c>
      <c r="C262" s="150" t="s">
        <v>216</v>
      </c>
      <c r="D262" s="99" t="s">
        <v>208</v>
      </c>
      <c r="E262" s="4">
        <v>8</v>
      </c>
      <c r="F262" s="9" t="s">
        <v>77</v>
      </c>
      <c r="G262" s="34"/>
      <c r="H262" s="165"/>
      <c r="I262" s="176">
        <f t="shared" si="30"/>
        <v>0</v>
      </c>
      <c r="J262" s="207">
        <f t="shared" si="31"/>
        <v>0</v>
      </c>
      <c r="L262" s="178"/>
      <c r="M262" s="178"/>
    </row>
    <row r="263" spans="1:13" s="13" customFormat="1" x14ac:dyDescent="0.2">
      <c r="A263" s="79" t="s">
        <v>8</v>
      </c>
      <c r="B263" s="80" t="s">
        <v>15</v>
      </c>
      <c r="C263" s="150" t="s">
        <v>217</v>
      </c>
      <c r="D263" s="99" t="s">
        <v>206</v>
      </c>
      <c r="E263" s="4">
        <v>3.3</v>
      </c>
      <c r="F263" s="9" t="s">
        <v>74</v>
      </c>
      <c r="G263" s="34"/>
      <c r="H263" s="165"/>
      <c r="I263" s="176">
        <f t="shared" si="30"/>
        <v>0</v>
      </c>
      <c r="J263" s="207">
        <f t="shared" si="31"/>
        <v>0</v>
      </c>
      <c r="L263" s="178"/>
      <c r="M263" s="178"/>
    </row>
    <row r="264" spans="1:13" s="13" customFormat="1" x14ac:dyDescent="0.2">
      <c r="A264" s="79" t="s">
        <v>8</v>
      </c>
      <c r="B264" s="80" t="s">
        <v>15</v>
      </c>
      <c r="C264" s="150" t="s">
        <v>218</v>
      </c>
      <c r="D264" s="99" t="s">
        <v>94</v>
      </c>
      <c r="E264" s="4">
        <f>2*(18.84+3.64)*1.23 + 2*(18.04+3.04)*1.03 + (4*3.44*0.72+4*2.22*0.72) + 8*1.8*0.25</f>
        <v>118.62639999999999</v>
      </c>
      <c r="F264" s="9" t="s">
        <v>61</v>
      </c>
      <c r="G264" s="34"/>
      <c r="H264" s="165"/>
      <c r="I264" s="176">
        <f t="shared" si="30"/>
        <v>0</v>
      </c>
      <c r="J264" s="207">
        <f t="shared" si="31"/>
        <v>0</v>
      </c>
      <c r="L264" s="178"/>
      <c r="M264" s="178"/>
    </row>
    <row r="265" spans="1:13" s="13" customFormat="1" x14ac:dyDescent="0.2">
      <c r="A265" s="79" t="s">
        <v>8</v>
      </c>
      <c r="B265" s="80" t="s">
        <v>15</v>
      </c>
      <c r="C265" s="150" t="s">
        <v>221</v>
      </c>
      <c r="D265" s="8" t="s">
        <v>200</v>
      </c>
      <c r="E265" s="4">
        <f>8*15/1000</f>
        <v>0.12</v>
      </c>
      <c r="F265" s="9" t="s">
        <v>74</v>
      </c>
      <c r="G265" s="34"/>
      <c r="H265" s="165"/>
      <c r="I265" s="176">
        <f t="shared" si="30"/>
        <v>0</v>
      </c>
      <c r="J265" s="207">
        <f t="shared" si="31"/>
        <v>0</v>
      </c>
      <c r="L265" s="178"/>
      <c r="M265" s="178"/>
    </row>
    <row r="266" spans="1:13" s="13" customFormat="1" x14ac:dyDescent="0.2">
      <c r="A266" s="79" t="s">
        <v>8</v>
      </c>
      <c r="B266" s="80" t="s">
        <v>15</v>
      </c>
      <c r="C266" s="150" t="s">
        <v>222</v>
      </c>
      <c r="D266" s="8" t="s">
        <v>219</v>
      </c>
      <c r="E266" s="4">
        <f>2*(18+3)*16/1000</f>
        <v>0.67200000000000004</v>
      </c>
      <c r="F266" s="9" t="s">
        <v>74</v>
      </c>
      <c r="G266" s="34"/>
      <c r="H266" s="165"/>
      <c r="I266" s="176">
        <f t="shared" si="30"/>
        <v>0</v>
      </c>
      <c r="J266" s="207">
        <f t="shared" si="31"/>
        <v>0</v>
      </c>
      <c r="L266" s="178"/>
      <c r="M266" s="178"/>
    </row>
    <row r="267" spans="1:13" s="13" customFormat="1" x14ac:dyDescent="0.2">
      <c r="A267" s="79" t="s">
        <v>8</v>
      </c>
      <c r="B267" s="80" t="s">
        <v>15</v>
      </c>
      <c r="C267" s="150" t="s">
        <v>223</v>
      </c>
      <c r="D267" s="8" t="s">
        <v>210</v>
      </c>
      <c r="E267" s="4">
        <v>1</v>
      </c>
      <c r="F267" s="9" t="s">
        <v>211</v>
      </c>
      <c r="G267" s="34"/>
      <c r="H267" s="165"/>
      <c r="I267" s="176">
        <f t="shared" si="30"/>
        <v>0</v>
      </c>
      <c r="J267" s="207">
        <f t="shared" si="31"/>
        <v>0</v>
      </c>
      <c r="L267" s="178"/>
      <c r="M267" s="178"/>
    </row>
    <row r="268" spans="1:13" s="13" customFormat="1" x14ac:dyDescent="0.2">
      <c r="A268" s="79" t="s">
        <v>8</v>
      </c>
      <c r="B268" s="80" t="s">
        <v>15</v>
      </c>
      <c r="C268" s="150" t="s">
        <v>224</v>
      </c>
      <c r="D268" s="8" t="s">
        <v>225</v>
      </c>
      <c r="E268" s="4">
        <v>1</v>
      </c>
      <c r="F268" s="9" t="s">
        <v>130</v>
      </c>
      <c r="G268" s="34"/>
      <c r="H268" s="165"/>
      <c r="I268" s="176">
        <f t="shared" si="30"/>
        <v>0</v>
      </c>
      <c r="J268" s="207">
        <f t="shared" si="31"/>
        <v>0</v>
      </c>
      <c r="L268" s="178"/>
      <c r="M268" s="178"/>
    </row>
    <row r="269" spans="1:13" s="13" customFormat="1" x14ac:dyDescent="0.2">
      <c r="A269" s="79" t="s">
        <v>8</v>
      </c>
      <c r="B269" s="80" t="s">
        <v>15</v>
      </c>
      <c r="C269" s="150" t="s">
        <v>9</v>
      </c>
      <c r="D269" s="120" t="s">
        <v>110</v>
      </c>
      <c r="E269" s="4">
        <v>0</v>
      </c>
      <c r="F269" s="9" t="s">
        <v>77</v>
      </c>
      <c r="G269" s="34"/>
      <c r="H269" s="165"/>
      <c r="I269" s="176">
        <f t="shared" si="30"/>
        <v>0</v>
      </c>
      <c r="J269" s="207">
        <f t="shared" si="31"/>
        <v>0</v>
      </c>
      <c r="L269" s="178"/>
      <c r="M269" s="178"/>
    </row>
    <row r="270" spans="1:13" s="13" customFormat="1" ht="33.75" x14ac:dyDescent="0.2">
      <c r="A270" s="91"/>
      <c r="B270" s="80"/>
      <c r="C270" s="150"/>
      <c r="D270" s="99" t="s">
        <v>226</v>
      </c>
      <c r="E270" s="4"/>
      <c r="F270" s="9"/>
      <c r="G270" s="34"/>
      <c r="H270" s="165"/>
      <c r="I270" s="176" t="str">
        <f t="shared" si="30"/>
        <v/>
      </c>
      <c r="J270" s="207" t="str">
        <f t="shared" si="31"/>
        <v/>
      </c>
      <c r="L270" s="178"/>
      <c r="M270" s="178"/>
    </row>
    <row r="271" spans="1:13" ht="13.5" thickBot="1" x14ac:dyDescent="0.25">
      <c r="E271" s="189"/>
    </row>
    <row r="272" spans="1:13" s="10" customFormat="1" ht="23.25" thickBot="1" x14ac:dyDescent="0.25">
      <c r="A272" s="81" t="s">
        <v>8</v>
      </c>
      <c r="B272" s="83" t="s">
        <v>15</v>
      </c>
      <c r="C272" s="153" t="s">
        <v>104</v>
      </c>
      <c r="D272" s="84" t="s">
        <v>228</v>
      </c>
      <c r="E272" s="89"/>
      <c r="F272" s="93"/>
      <c r="G272" s="190"/>
      <c r="H272" s="161"/>
      <c r="I272" s="114"/>
      <c r="J272" s="162">
        <f>SUM(J254:J270)</f>
        <v>0</v>
      </c>
      <c r="L272" s="202"/>
      <c r="M272" s="202"/>
    </row>
    <row r="273" spans="1:13" x14ac:dyDescent="0.2">
      <c r="E273" s="189"/>
    </row>
    <row r="274" spans="1:13" s="15" customFormat="1" x14ac:dyDescent="0.2">
      <c r="A274" s="92" t="s">
        <v>8</v>
      </c>
      <c r="B274" s="77" t="s">
        <v>16</v>
      </c>
      <c r="C274" s="152" t="s">
        <v>103</v>
      </c>
      <c r="D274" s="78" t="s">
        <v>175</v>
      </c>
      <c r="E274" s="86"/>
      <c r="F274" s="87"/>
      <c r="G274" s="113"/>
      <c r="H274" s="160"/>
      <c r="I274" s="113"/>
      <c r="J274" s="139"/>
      <c r="L274" s="202"/>
      <c r="M274" s="202"/>
    </row>
    <row r="275" spans="1:13" s="13" customFormat="1" x14ac:dyDescent="0.2">
      <c r="A275" s="91"/>
      <c r="B275" s="80"/>
      <c r="C275" s="150"/>
      <c r="D275" s="123"/>
      <c r="E275" s="90"/>
      <c r="F275" s="9"/>
      <c r="G275" s="34"/>
      <c r="H275" s="165"/>
      <c r="I275" s="34"/>
      <c r="J275" s="119"/>
      <c r="L275" s="178"/>
      <c r="M275" s="178"/>
    </row>
    <row r="276" spans="1:13" s="13" customFormat="1" x14ac:dyDescent="0.2">
      <c r="A276" s="79" t="s">
        <v>8</v>
      </c>
      <c r="B276" s="80" t="s">
        <v>16</v>
      </c>
      <c r="C276" s="150" t="s">
        <v>113</v>
      </c>
      <c r="D276" s="120" t="s">
        <v>202</v>
      </c>
      <c r="E276" s="90"/>
      <c r="F276" s="9"/>
      <c r="G276" s="34"/>
      <c r="H276" s="165"/>
      <c r="I276" s="34"/>
      <c r="J276" s="119"/>
      <c r="L276" s="178"/>
      <c r="M276" s="178"/>
    </row>
    <row r="277" spans="1:13" s="13" customFormat="1" ht="45" x14ac:dyDescent="0.2">
      <c r="A277" s="91"/>
      <c r="B277" s="80"/>
      <c r="C277" s="150"/>
      <c r="D277" s="99" t="s">
        <v>286</v>
      </c>
      <c r="E277" s="90"/>
      <c r="F277" s="9"/>
      <c r="G277" s="34"/>
      <c r="H277" s="165"/>
      <c r="I277" s="34"/>
      <c r="J277" s="119"/>
      <c r="L277" s="178"/>
      <c r="M277" s="178"/>
    </row>
    <row r="278" spans="1:13" s="13" customFormat="1" x14ac:dyDescent="0.2">
      <c r="A278" s="91"/>
      <c r="B278" s="80"/>
      <c r="C278" s="150"/>
      <c r="D278" s="99"/>
      <c r="E278" s="90"/>
      <c r="F278" s="9"/>
      <c r="G278" s="34"/>
      <c r="H278" s="165"/>
      <c r="I278" s="34"/>
      <c r="J278" s="119"/>
      <c r="L278" s="178"/>
      <c r="M278" s="178"/>
    </row>
    <row r="279" spans="1:13" x14ac:dyDescent="0.2">
      <c r="A279" s="79" t="s">
        <v>8</v>
      </c>
      <c r="B279" s="80" t="s">
        <v>16</v>
      </c>
      <c r="C279" s="150" t="s">
        <v>8</v>
      </c>
      <c r="D279" s="120" t="s">
        <v>229</v>
      </c>
      <c r="E279" s="4">
        <f>9*40</f>
        <v>360</v>
      </c>
      <c r="F279" s="9" t="s">
        <v>86</v>
      </c>
      <c r="I279" s="176">
        <f t="shared" ref="I279" si="32">IF(ISBLANK(E279),"",G279+H279)</f>
        <v>0</v>
      </c>
      <c r="J279" s="207">
        <f t="shared" ref="J279" si="33">IF(ISBLANK(E279),"",E279*I279)</f>
        <v>0</v>
      </c>
    </row>
    <row r="280" spans="1:13" x14ac:dyDescent="0.2">
      <c r="D280" s="88" t="s">
        <v>232</v>
      </c>
      <c r="E280" s="4"/>
      <c r="F280" s="9"/>
      <c r="I280" s="176" t="str">
        <f t="shared" ref="I280:I299" si="34">IF(ISBLANK(E280),"",G280+H280)</f>
        <v/>
      </c>
      <c r="J280" s="207" t="str">
        <f t="shared" ref="J280:J299" si="35">IF(ISBLANK(E280),"",E280*I280)</f>
        <v/>
      </c>
    </row>
    <row r="281" spans="1:13" x14ac:dyDescent="0.2">
      <c r="A281" s="79" t="s">
        <v>8</v>
      </c>
      <c r="B281" s="80" t="s">
        <v>16</v>
      </c>
      <c r="C281" s="150" t="s">
        <v>9</v>
      </c>
      <c r="D281" s="120" t="s">
        <v>231</v>
      </c>
      <c r="E281" s="4">
        <v>9</v>
      </c>
      <c r="F281" s="9" t="s">
        <v>77</v>
      </c>
      <c r="I281" s="176">
        <f t="shared" si="34"/>
        <v>0</v>
      </c>
      <c r="J281" s="207">
        <f t="shared" si="35"/>
        <v>0</v>
      </c>
    </row>
    <row r="282" spans="1:13" ht="45" x14ac:dyDescent="0.2">
      <c r="D282" s="88" t="s">
        <v>234</v>
      </c>
      <c r="E282" s="4"/>
      <c r="F282" s="9"/>
      <c r="I282" s="176" t="str">
        <f t="shared" si="34"/>
        <v/>
      </c>
      <c r="J282" s="207" t="str">
        <f t="shared" si="35"/>
        <v/>
      </c>
    </row>
    <row r="283" spans="1:13" s="215" customFormat="1" x14ac:dyDescent="0.2">
      <c r="A283" s="208" t="s">
        <v>8</v>
      </c>
      <c r="B283" s="209" t="s">
        <v>16</v>
      </c>
      <c r="C283" s="210" t="s">
        <v>11</v>
      </c>
      <c r="D283" s="211" t="s">
        <v>235</v>
      </c>
      <c r="E283" s="212"/>
      <c r="F283" s="213"/>
      <c r="G283" s="214"/>
      <c r="H283" s="177"/>
      <c r="I283" s="176" t="str">
        <f t="shared" si="34"/>
        <v/>
      </c>
      <c r="J283" s="207" t="str">
        <f t="shared" si="35"/>
        <v/>
      </c>
    </row>
    <row r="284" spans="1:13" s="215" customFormat="1" ht="33.75" x14ac:dyDescent="0.2">
      <c r="A284" s="216"/>
      <c r="B284" s="217"/>
      <c r="C284" s="210"/>
      <c r="D284" s="218" t="s">
        <v>245</v>
      </c>
      <c r="E284" s="212"/>
      <c r="F284" s="213"/>
      <c r="G284" s="214"/>
      <c r="H284" s="177"/>
      <c r="I284" s="176" t="str">
        <f t="shared" si="34"/>
        <v/>
      </c>
      <c r="J284" s="207" t="str">
        <f t="shared" si="35"/>
        <v/>
      </c>
    </row>
    <row r="285" spans="1:13" s="215" customFormat="1" x14ac:dyDescent="0.2">
      <c r="A285" s="208" t="s">
        <v>8</v>
      </c>
      <c r="B285" s="209" t="s">
        <v>16</v>
      </c>
      <c r="C285" s="210" t="s">
        <v>67</v>
      </c>
      <c r="D285" s="218" t="s">
        <v>252</v>
      </c>
      <c r="E285" s="212">
        <f>9*7</f>
        <v>63</v>
      </c>
      <c r="F285" s="213" t="s">
        <v>86</v>
      </c>
      <c r="G285" s="214"/>
      <c r="H285" s="177"/>
      <c r="I285" s="176">
        <f t="shared" si="34"/>
        <v>0</v>
      </c>
      <c r="J285" s="207">
        <f t="shared" si="35"/>
        <v>0</v>
      </c>
    </row>
    <row r="286" spans="1:13" s="215" customFormat="1" x14ac:dyDescent="0.2">
      <c r="A286" s="208" t="s">
        <v>8</v>
      </c>
      <c r="B286" s="209" t="s">
        <v>16</v>
      </c>
      <c r="C286" s="210" t="s">
        <v>68</v>
      </c>
      <c r="D286" s="219" t="s">
        <v>236</v>
      </c>
      <c r="E286" s="212">
        <f>9*7</f>
        <v>63</v>
      </c>
      <c r="F286" s="213" t="s">
        <v>86</v>
      </c>
      <c r="G286" s="214"/>
      <c r="H286" s="177"/>
      <c r="I286" s="176">
        <f t="shared" si="34"/>
        <v>0</v>
      </c>
      <c r="J286" s="207">
        <f t="shared" si="35"/>
        <v>0</v>
      </c>
    </row>
    <row r="287" spans="1:13" s="215" customFormat="1" x14ac:dyDescent="0.2">
      <c r="A287" s="208" t="s">
        <v>8</v>
      </c>
      <c r="B287" s="209" t="s">
        <v>16</v>
      </c>
      <c r="C287" s="210" t="s">
        <v>93</v>
      </c>
      <c r="D287" s="218" t="s">
        <v>237</v>
      </c>
      <c r="E287" s="212">
        <f>9*0.65</f>
        <v>5.8500000000000005</v>
      </c>
      <c r="F287" s="213" t="s">
        <v>74</v>
      </c>
      <c r="G287" s="214"/>
      <c r="H287" s="177"/>
      <c r="I287" s="176">
        <f t="shared" si="34"/>
        <v>0</v>
      </c>
      <c r="J287" s="207">
        <f t="shared" si="35"/>
        <v>0</v>
      </c>
    </row>
    <row r="288" spans="1:13" s="215" customFormat="1" x14ac:dyDescent="0.2">
      <c r="A288" s="208" t="s">
        <v>8</v>
      </c>
      <c r="B288" s="209" t="s">
        <v>16</v>
      </c>
      <c r="C288" s="210" t="s">
        <v>32</v>
      </c>
      <c r="D288" s="218" t="s">
        <v>94</v>
      </c>
      <c r="E288" s="212">
        <f>9*12</f>
        <v>108</v>
      </c>
      <c r="F288" s="213" t="s">
        <v>61</v>
      </c>
      <c r="G288" s="214"/>
      <c r="H288" s="177"/>
      <c r="I288" s="176">
        <f t="shared" si="34"/>
        <v>0</v>
      </c>
      <c r="J288" s="207">
        <f t="shared" si="35"/>
        <v>0</v>
      </c>
    </row>
    <row r="289" spans="1:14" s="215" customFormat="1" x14ac:dyDescent="0.2">
      <c r="A289" s="220" t="s">
        <v>8</v>
      </c>
      <c r="B289" s="221" t="s">
        <v>16</v>
      </c>
      <c r="C289" s="210" t="s">
        <v>13</v>
      </c>
      <c r="D289" s="211" t="s">
        <v>238</v>
      </c>
      <c r="E289" s="212">
        <v>9</v>
      </c>
      <c r="F289" s="222" t="s">
        <v>77</v>
      </c>
      <c r="G289" s="214"/>
      <c r="H289" s="177"/>
      <c r="I289" s="176">
        <f t="shared" si="34"/>
        <v>0</v>
      </c>
      <c r="J289" s="207">
        <f t="shared" si="35"/>
        <v>0</v>
      </c>
    </row>
    <row r="290" spans="1:14" s="215" customFormat="1" ht="33.75" x14ac:dyDescent="0.2">
      <c r="A290" s="220"/>
      <c r="B290" s="223"/>
      <c r="C290" s="210"/>
      <c r="D290" s="224" t="s">
        <v>239</v>
      </c>
      <c r="E290" s="212"/>
      <c r="F290" s="222"/>
      <c r="G290" s="176"/>
      <c r="H290" s="177"/>
      <c r="I290" s="176" t="str">
        <f t="shared" si="34"/>
        <v/>
      </c>
      <c r="J290" s="207" t="str">
        <f t="shared" si="35"/>
        <v/>
      </c>
    </row>
    <row r="291" spans="1:14" s="215" customFormat="1" x14ac:dyDescent="0.2">
      <c r="A291" s="220"/>
      <c r="B291" s="223"/>
      <c r="C291" s="210"/>
      <c r="D291" s="224" t="s">
        <v>240</v>
      </c>
      <c r="E291" s="212"/>
      <c r="F291" s="222"/>
      <c r="G291" s="176"/>
      <c r="H291" s="177"/>
      <c r="I291" s="176" t="str">
        <f t="shared" si="34"/>
        <v/>
      </c>
      <c r="J291" s="207" t="str">
        <f t="shared" si="35"/>
        <v/>
      </c>
    </row>
    <row r="292" spans="1:14" s="231" customFormat="1" x14ac:dyDescent="0.2">
      <c r="A292" s="225" t="s">
        <v>8</v>
      </c>
      <c r="B292" s="226" t="s">
        <v>16</v>
      </c>
      <c r="C292" s="227" t="s">
        <v>14</v>
      </c>
      <c r="D292" s="228" t="s">
        <v>249</v>
      </c>
      <c r="E292" s="229">
        <v>0</v>
      </c>
      <c r="F292" s="230" t="s">
        <v>77</v>
      </c>
      <c r="G292" s="176"/>
      <c r="H292" s="214"/>
      <c r="I292" s="176">
        <f t="shared" si="34"/>
        <v>0</v>
      </c>
      <c r="J292" s="207">
        <f t="shared" si="35"/>
        <v>0</v>
      </c>
      <c r="N292" s="215"/>
    </row>
    <row r="293" spans="1:14" s="231" customFormat="1" x14ac:dyDescent="0.2">
      <c r="A293" s="232"/>
      <c r="B293" s="233"/>
      <c r="C293" s="234"/>
      <c r="D293" s="235" t="s">
        <v>278</v>
      </c>
      <c r="E293" s="229"/>
      <c r="F293" s="230"/>
      <c r="G293" s="176"/>
      <c r="H293" s="214"/>
      <c r="I293" s="176" t="str">
        <f t="shared" si="34"/>
        <v/>
      </c>
      <c r="J293" s="207" t="str">
        <f t="shared" si="35"/>
        <v/>
      </c>
      <c r="N293" s="215"/>
    </row>
    <row r="294" spans="1:14" s="231" customFormat="1" x14ac:dyDescent="0.2">
      <c r="A294" s="225" t="s">
        <v>8</v>
      </c>
      <c r="B294" s="226" t="s">
        <v>16</v>
      </c>
      <c r="C294" s="227" t="s">
        <v>15</v>
      </c>
      <c r="D294" s="228" t="s">
        <v>243</v>
      </c>
      <c r="E294" s="229">
        <v>9</v>
      </c>
      <c r="F294" s="230" t="s">
        <v>77</v>
      </c>
      <c r="G294" s="214"/>
      <c r="H294" s="214"/>
      <c r="I294" s="176">
        <f t="shared" si="34"/>
        <v>0</v>
      </c>
      <c r="J294" s="207">
        <f t="shared" si="35"/>
        <v>0</v>
      </c>
      <c r="N294" s="215"/>
    </row>
    <row r="295" spans="1:14" s="231" customFormat="1" ht="33.75" x14ac:dyDescent="0.2">
      <c r="A295" s="225"/>
      <c r="B295" s="226"/>
      <c r="C295" s="227"/>
      <c r="D295" s="236" t="s">
        <v>244</v>
      </c>
      <c r="E295" s="229"/>
      <c r="F295" s="230"/>
      <c r="G295" s="214"/>
      <c r="H295" s="214"/>
      <c r="I295" s="176" t="str">
        <f t="shared" si="34"/>
        <v/>
      </c>
      <c r="J295" s="207" t="str">
        <f t="shared" si="35"/>
        <v/>
      </c>
      <c r="N295" s="215"/>
    </row>
    <row r="296" spans="1:14" x14ac:dyDescent="0.2">
      <c r="A296" s="79" t="s">
        <v>8</v>
      </c>
      <c r="B296" s="80" t="s">
        <v>16</v>
      </c>
      <c r="C296" s="150" t="s">
        <v>16</v>
      </c>
      <c r="D296" s="120" t="s">
        <v>247</v>
      </c>
      <c r="E296" s="4">
        <v>100</v>
      </c>
      <c r="F296" s="9" t="s">
        <v>86</v>
      </c>
      <c r="I296" s="176">
        <f t="shared" si="34"/>
        <v>0</v>
      </c>
      <c r="J296" s="207">
        <f t="shared" si="35"/>
        <v>0</v>
      </c>
    </row>
    <row r="297" spans="1:14" ht="33.75" x14ac:dyDescent="0.2">
      <c r="D297" s="88" t="s">
        <v>248</v>
      </c>
      <c r="E297" s="4"/>
      <c r="F297" s="9"/>
      <c r="I297" s="176" t="str">
        <f t="shared" si="34"/>
        <v/>
      </c>
      <c r="J297" s="207" t="str">
        <f t="shared" si="35"/>
        <v/>
      </c>
    </row>
    <row r="298" spans="1:14" x14ac:dyDescent="0.2">
      <c r="A298" s="79" t="s">
        <v>8</v>
      </c>
      <c r="B298" s="80" t="s">
        <v>16</v>
      </c>
      <c r="C298" s="150" t="s">
        <v>63</v>
      </c>
      <c r="D298" s="120" t="s">
        <v>250</v>
      </c>
      <c r="E298" s="4">
        <v>0</v>
      </c>
      <c r="F298" s="9" t="s">
        <v>77</v>
      </c>
      <c r="I298" s="176">
        <f t="shared" si="34"/>
        <v>0</v>
      </c>
      <c r="J298" s="207">
        <f t="shared" si="35"/>
        <v>0</v>
      </c>
    </row>
    <row r="299" spans="1:14" ht="22.5" x14ac:dyDescent="0.2">
      <c r="D299" s="88" t="s">
        <v>251</v>
      </c>
      <c r="E299" s="4"/>
      <c r="F299" s="9"/>
      <c r="I299" s="176" t="str">
        <f t="shared" si="34"/>
        <v/>
      </c>
      <c r="J299" s="207" t="str">
        <f t="shared" si="35"/>
        <v/>
      </c>
    </row>
    <row r="300" spans="1:14" ht="13.5" thickBot="1" x14ac:dyDescent="0.25">
      <c r="E300" s="189"/>
    </row>
    <row r="301" spans="1:14" s="10" customFormat="1" ht="23.25" thickBot="1" x14ac:dyDescent="0.25">
      <c r="A301" s="81" t="s">
        <v>8</v>
      </c>
      <c r="B301" s="83" t="s">
        <v>16</v>
      </c>
      <c r="C301" s="153" t="s">
        <v>104</v>
      </c>
      <c r="D301" s="84" t="s">
        <v>174</v>
      </c>
      <c r="E301" s="89"/>
      <c r="F301" s="93"/>
      <c r="G301" s="190"/>
      <c r="H301" s="161"/>
      <c r="I301" s="114"/>
      <c r="J301" s="162">
        <f>SUM(J279:J299)</f>
        <v>0</v>
      </c>
      <c r="L301" s="202"/>
      <c r="M301" s="202"/>
    </row>
    <row r="302" spans="1:14" x14ac:dyDescent="0.2">
      <c r="E302" s="189"/>
    </row>
  </sheetData>
  <sheetProtection formatCells="0" formatColumns="0" selectLockedCells="1" sort="0"/>
  <printOptions gridLines="1"/>
  <pageMargins left="0.51181102362204722" right="0.39370078740157483" top="0.74803149606299213" bottom="0.70866141732283472" header="0.51181102362204722" footer="0.51181102362204722"/>
  <pageSetup paperSize="9" scale="90" orientation="landscape" r:id="rId1"/>
  <headerFooter alignWithMargins="0">
    <oddHeader>&amp;L&amp;9Projekt: METRANS Szeged logisztikai telephely&amp;C&amp;9KV-2.5 Vb. darupályatartó és kültéri műtárgyak&amp;R&amp;9Tervezés és kiírás: Talent-Plan Kft.</oddHeader>
    <oddFooter>&amp;C&amp;8 2015.06.24.&amp;R&amp;8&amp;P/&amp;N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Metrans kültéri műtárgyak</vt:lpstr>
      <vt:lpstr>'Metrans kültéri műtárgyak'!Nyomtatási_cím</vt:lpstr>
      <vt:lpstr>'Metrans kültéri műtárgyak'!Nyomtatási_terület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2025-08-03T08:17:03Z</cp:lastPrinted>
  <dcterms:created xsi:type="dcterms:W3CDTF">2005-09-02T08:49:12Z</dcterms:created>
  <dcterms:modified xsi:type="dcterms:W3CDTF">2025-08-03T08:17:07Z</dcterms:modified>
</cp:coreProperties>
</file>